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RAjJi2qBv67xa2JOzBu2bz/HDZKYI+CghyZ95piczhL+4nH3B+Nh2HPNHsKD4OcghunIjq5hgKNzfMdnBJPbg==" workbookSaltValue="TIjV+ZnvvulJGLCrjTxxX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G30" i="14"/>
  <c r="G23" i="14"/>
  <c r="X32" i="20"/>
  <c r="BF17" i="8" l="1"/>
  <c r="L16" i="2"/>
  <c r="BK10" i="11"/>
  <c r="BL22" i="11"/>
  <c r="Q16" i="17"/>
  <c r="BK20" i="11"/>
  <c r="BF12" i="11"/>
  <c r="T17" i="11"/>
  <c r="R28" i="14"/>
  <c r="S11" i="17"/>
  <c r="BV10" i="16"/>
  <c r="BW16" i="20"/>
  <c r="BW17" i="20"/>
  <c r="BU21" i="17"/>
  <c r="BU11" i="17"/>
  <c r="BJ28" i="11"/>
  <c r="AZ9" i="11"/>
  <c r="AZ14" i="11" s="1"/>
  <c r="AZ13" i="11"/>
  <c r="BI19" i="11"/>
  <c r="BI25" i="11"/>
  <c r="Z14" i="17"/>
  <c r="BD12" i="8"/>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9" i="14"/>
  <c r="V19" i="14" s="1"/>
  <c r="S17" i="14"/>
  <c r="V17" i="14"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S13" i="17"/>
  <c r="S12" i="14"/>
  <c r="V12"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Q13"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<sst xmlns="http://schemas.openxmlformats.org/spreadsheetml/2006/main" count="2682" uniqueCount="1192">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</sst>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g+2AL+ZHlGc5fauDVuIZTqyhssZoXslU+M2bmTV51wT6rnR9p6u20NC2mlBygrdk9rBvy0Vk8y8BnUZhWMGDg==" saltValue="OmMZZB8R5C7t8Z97904J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126</v>
      </c>
      <c r="F10" s="240">
        <f>IF(ISNUMBER(Datos!K10),Datos!K10," - ")</f>
        <v>108</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0.69230769230769229</v>
      </c>
      <c r="L10" s="1402">
        <f>IF(ISNUMBER(NºAsuntos!I10/NºAsuntos!G10),(NºAsuntos!I10/NºAsuntos!G10)*11," - ")</f>
        <v>4.481481481481481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6.109619140625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126</v>
      </c>
      <c r="F14" s="1409">
        <f>SUBTOTAL(9,F9:F13)</f>
        <v>108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1561</v>
      </c>
      <c r="D17" s="239">
        <f>IF(ISNUMBER(IF(D_I="SI",Datos!I17,Datos!I17+Datos!AC17)),IF(D_I="SI",Datos!I17,Datos!I17+Datos!AC17)," - ")</f>
        <v>1342</v>
      </c>
      <c r="E17" s="240">
        <f>IF(ISNUMBER(IF(D_I="SI",Datos!J17,Datos!J17+Datos!AD17)),IF(D_I="SI",Datos!J17,Datos!J17+Datos!AD17)," - ")</f>
        <v>6621</v>
      </c>
      <c r="F17" s="240">
        <f>IF(ISNUMBER(IF(D_I="SI",Datos!K17,Datos!K17+Datos!AE17)),IF(D_I="SI",Datos!K17,Datos!K17+Datos!AE17)," - ")</f>
        <v>6837</v>
      </c>
      <c r="G17" s="1390" t="str">
        <f>IF(Datos!E17&lt;&gt;"",Datos!E17,Datos!D17)</f>
        <v>04</v>
      </c>
      <c r="H17" s="241">
        <f>IF(ISNUMBER(IF(D_I="SI",Datos!L17,Datos!L17+Datos!AF17)),IF(D_I="SI",Datos!L17,Datos!L17+Datos!AF17)," - ")</f>
        <v>1345</v>
      </c>
      <c r="I17" s="1400" t="str">
        <f>IF(ISNUMBER(Datos!AS17/Datos!BM17),Datos!AS17/Datos!BM17," - ")</f>
        <v xml:space="preserve"> - </v>
      </c>
      <c r="J17" s="1401">
        <f>IF(ISNUMBER(Datos!BY17/Datos!CN17),Datos!BY17/Datos!CN17," - ")</f>
        <v>0</v>
      </c>
      <c r="K17" s="244">
        <f t="shared" si="3"/>
        <v>-0.13837283792440744</v>
      </c>
      <c r="L17" s="1402">
        <f>IF(ISNUMBER(NºAsuntos!I17/NºAsuntos!G17),(NºAsuntos!I17/NºAsuntos!G17)*11," - ")</f>
        <v>2.1639608015211351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98</v>
      </c>
      <c r="E18" s="240">
        <f>IF(ISNUMBER(IF(D_I="SI",Datos!J18,Datos!J18+Datos!AD18)),IF(D_I="SI",Datos!J18,Datos!J18+Datos!AD18)," - ")</f>
        <v>945</v>
      </c>
      <c r="F18" s="240">
        <f>IF(ISNUMBER(IF(D_I="SI",Datos!K18,Datos!K18+Datos!AE18)),IF(D_I="SI",Datos!K18,Datos!K18+Datos!AE18)," - ")</f>
        <v>967</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-0.21782178217821782</v>
      </c>
      <c r="L18" s="1402">
        <f>IF(ISNUMBER(NºAsuntos!I18/NºAsuntos!G18),(NºAsuntos!I18/NºAsuntos!G18)*11," - ")</f>
        <v>0.89865563598759046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1662</v>
      </c>
      <c r="D23" s="1407">
        <f>SUBTOTAL(9,D16:D22)</f>
        <v>1440</v>
      </c>
      <c r="E23" s="1408">
        <f>SUBTOTAL(9,E16:E22)</f>
        <v>7566</v>
      </c>
      <c r="F23" s="1408">
        <f>SUBTOTAL(9,F16:F22)</f>
        <v>7804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1688</v>
      </c>
      <c r="D31" s="1435">
        <f>SUBTOTAL(9,D9:D30)</f>
        <v>1466</v>
      </c>
      <c r="E31" s="1436">
        <f>SUBTOTAL(9,E9:E30)</f>
        <v>7692</v>
      </c>
      <c r="F31" s="1436">
        <f>SUBTOTAL(9,F9:F30)</f>
        <v>7912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S2C8Y4AI5Wlbkj7s6mg0FubQEUWWCegfxshtznmZJKngPUehtkwGoh3BA25gcQZ9Kve/wMst7VGDRE7OIZzVw==" saltValue="uTkZkY8oyif3BePdCE/t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g/PPG7Dv5Sq4D+Obe/4+lM356aUenlRLvRiJ/uECIIEJQ1dXiaIeGTTi0Y3OEXON2HSn+0CKDR3t0ESUuMzPA==" saltValue="dItwyI85ugzwffNlroKT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126</v>
      </c>
      <c r="K10" s="194">
        <v>108</v>
      </c>
      <c r="L10" s="194">
        <v>44</v>
      </c>
      <c r="M10" s="194">
        <v>27</v>
      </c>
      <c r="N10" s="194">
        <v>61</v>
      </c>
      <c r="O10" s="194">
        <v>32</v>
      </c>
      <c r="P10" s="194">
        <v>19</v>
      </c>
      <c r="Q10" s="194">
        <v>30</v>
      </c>
      <c r="R10" s="194">
        <v>46</v>
      </c>
      <c r="S10" s="194">
        <v>38</v>
      </c>
      <c r="T10" s="194">
        <v>80</v>
      </c>
      <c r="U10" s="194">
        <v>92</v>
      </c>
      <c r="V10" s="194">
        <v>26</v>
      </c>
      <c r="W10" s="194">
        <v>26</v>
      </c>
      <c r="X10" s="201">
        <v>48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38</v>
      </c>
      <c r="AZ10" s="139">
        <f t="shared" si="0"/>
        <v>80</v>
      </c>
      <c r="BA10" s="139">
        <f t="shared" si="0"/>
        <v>92</v>
      </c>
      <c r="BB10" s="139">
        <f t="shared" si="0"/>
        <v>26</v>
      </c>
      <c r="BC10" s="135">
        <f t="shared" si="0"/>
        <v>26</v>
      </c>
      <c r="BD10" s="136">
        <f>IF(ISNUMBER(BA10/AZ10),BA10/AZ10," - ")</f>
        <v>1.1499999999999999</v>
      </c>
      <c r="BE10" s="137">
        <f>IF(ISNUMBER(BB10/BA10),BB10/BA10, " - ")</f>
        <v>0.28260869565217389</v>
      </c>
      <c r="BF10" s="137">
        <f>IF(ISNUMBER(BC10/BA10),BC10/BA10, " - ")</f>
        <v>0.28260869565217389</v>
      </c>
      <c r="BG10" s="209">
        <f>IF(ISNUMBER((AY10+AZ10)/BA10),(AY10+AZ10)/BA10," - ")</f>
        <v>1.2826086956521738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3377</v>
      </c>
      <c r="J12" s="196">
        <v>7583</v>
      </c>
      <c r="K12" s="196">
        <v>7204</v>
      </c>
      <c r="L12" s="196">
        <v>4414</v>
      </c>
      <c r="M12" s="196">
        <v>1392</v>
      </c>
      <c r="N12" s="196">
        <v>4998</v>
      </c>
      <c r="O12" s="194">
        <v>2526</v>
      </c>
      <c r="P12" s="196">
        <v>1259</v>
      </c>
      <c r="Q12" s="196">
        <v>1252</v>
      </c>
      <c r="R12" s="196">
        <v>6216</v>
      </c>
      <c r="S12" s="196">
        <v>3085</v>
      </c>
      <c r="T12" s="196">
        <v>7811</v>
      </c>
      <c r="U12" s="196">
        <v>7417</v>
      </c>
      <c r="V12" s="196">
        <v>3377</v>
      </c>
      <c r="W12" s="196">
        <v>1379</v>
      </c>
      <c r="X12" s="202">
        <v>4964</v>
      </c>
      <c r="Y12" s="204">
        <v>93</v>
      </c>
      <c r="Z12" s="194">
        <v>1003</v>
      </c>
      <c r="AA12" s="194">
        <v>988</v>
      </c>
      <c r="AB12" s="194">
        <v>136</v>
      </c>
      <c r="AC12" s="196">
        <v>0</v>
      </c>
      <c r="AD12" s="196">
        <v>0</v>
      </c>
      <c r="AE12" s="196">
        <v>0</v>
      </c>
      <c r="AF12" s="202">
        <v>0</v>
      </c>
      <c r="AG12" s="215">
        <v>171</v>
      </c>
      <c r="AH12" s="196">
        <v>961</v>
      </c>
      <c r="AI12" s="196">
        <v>931</v>
      </c>
      <c r="AJ12" s="216">
        <v>93</v>
      </c>
      <c r="AK12" s="195">
        <v>0</v>
      </c>
      <c r="AL12" s="196">
        <v>0</v>
      </c>
      <c r="AM12" s="196">
        <v>0</v>
      </c>
      <c r="AN12" s="202">
        <v>0</v>
      </c>
      <c r="AO12" s="283">
        <v>8</v>
      </c>
      <c r="AP12" s="168">
        <v>8</v>
      </c>
      <c r="AQ12" s="168">
        <v>8</v>
      </c>
      <c r="AR12" s="167">
        <v>8</v>
      </c>
      <c r="AS12" s="381" t="s">
        <v>1075</v>
      </c>
      <c r="AT12" s="216"/>
      <c r="AU12" s="215"/>
      <c r="AV12" s="216"/>
      <c r="AW12" s="215"/>
      <c r="AX12" s="216"/>
      <c r="AY12" s="136">
        <f t="shared" si="1"/>
        <v>3256</v>
      </c>
      <c r="AZ12" s="137">
        <f t="shared" si="1"/>
        <v>8772</v>
      </c>
      <c r="BA12" s="137">
        <f t="shared" si="1"/>
        <v>8348</v>
      </c>
      <c r="BB12" s="137">
        <f t="shared" si="1"/>
        <v>3470</v>
      </c>
      <c r="BC12" s="135">
        <f>IF(ISNUMBER(X12),X12," - ")</f>
        <v>4964</v>
      </c>
      <c r="BD12" s="136">
        <f t="shared" si="2"/>
        <v>0.95166438668490649</v>
      </c>
      <c r="BE12" s="137">
        <f t="shared" si="3"/>
        <v>0.41566842357450884</v>
      </c>
      <c r="BF12" s="137">
        <f t="shared" si="4"/>
        <v>0.59463344513655969</v>
      </c>
      <c r="BG12" s="209">
        <f t="shared" si="5"/>
        <v>1.4408241494968854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3403</v>
      </c>
      <c r="J14" s="197">
        <f t="shared" si="7"/>
        <v>7709</v>
      </c>
      <c r="K14" s="197">
        <f t="shared" si="7"/>
        <v>7312</v>
      </c>
      <c r="L14" s="197">
        <f t="shared" si="7"/>
        <v>4458</v>
      </c>
      <c r="M14" s="197">
        <f t="shared" si="7"/>
        <v>1419</v>
      </c>
      <c r="N14" s="197">
        <f t="shared" si="7"/>
        <v>5059</v>
      </c>
      <c r="O14" s="197">
        <f t="shared" si="7"/>
        <v>2558</v>
      </c>
      <c r="P14" s="197">
        <f t="shared" si="7"/>
        <v>1278</v>
      </c>
      <c r="Q14" s="197">
        <f t="shared" si="7"/>
        <v>1282</v>
      </c>
      <c r="R14" s="197">
        <f t="shared" si="7"/>
        <v>6262</v>
      </c>
      <c r="S14" s="197">
        <f t="shared" si="7"/>
        <v>3123</v>
      </c>
      <c r="T14" s="197">
        <f t="shared" si="7"/>
        <v>7891</v>
      </c>
      <c r="U14" s="197">
        <f t="shared" si="7"/>
        <v>7509</v>
      </c>
      <c r="V14" s="197">
        <f t="shared" si="7"/>
        <v>3403</v>
      </c>
      <c r="W14" s="197">
        <f t="shared" si="7"/>
        <v>1405</v>
      </c>
      <c r="X14" s="197">
        <f t="shared" si="7"/>
        <v>5012</v>
      </c>
      <c r="Y14" s="197">
        <f t="shared" si="7"/>
        <v>93</v>
      </c>
      <c r="Z14" s="197">
        <f t="shared" si="7"/>
        <v>1003</v>
      </c>
      <c r="AA14" s="197">
        <f t="shared" si="7"/>
        <v>988</v>
      </c>
      <c r="AB14" s="197">
        <f t="shared" si="7"/>
        <v>136</v>
      </c>
      <c r="AC14" s="197">
        <f t="shared" si="7"/>
        <v>0</v>
      </c>
      <c r="AD14" s="197">
        <f t="shared" si="7"/>
        <v>0</v>
      </c>
      <c r="AE14" s="197">
        <f t="shared" si="7"/>
        <v>0</v>
      </c>
      <c r="AF14" s="197">
        <f>SUBTOTAL(9,AF9:AF13)</f>
        <v>0</v>
      </c>
      <c r="AG14" s="197">
        <f t="shared" ref="AG14:AT14" si="8">SUBTOTAL(9,AG8:AG13)</f>
        <v>171</v>
      </c>
      <c r="AH14" s="197">
        <f t="shared" si="8"/>
        <v>961</v>
      </c>
      <c r="AI14" s="197">
        <f t="shared" si="8"/>
        <v>931</v>
      </c>
      <c r="AJ14" s="197">
        <f t="shared" si="8"/>
        <v>93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3294</v>
      </c>
      <c r="AZ14" s="197">
        <f>SUBTOTAL(9,AZ8:AZ13)</f>
        <v>8852</v>
      </c>
      <c r="BA14" s="197">
        <f>SUBTOTAL(9,BA8:BA13)</f>
        <v>8440</v>
      </c>
      <c r="BB14" s="197">
        <f>SUBTOTAL(9,BB8:BB13)</f>
        <v>3496</v>
      </c>
      <c r="BC14" s="197">
        <f>SUBTOTAL(9,BC8:BC13)</f>
        <v>4990</v>
      </c>
      <c r="BD14" s="219">
        <f>IF(ISNUMBER(BA14/AZ14),BA14/AZ14," - ")</f>
        <v>0.95345684591052871</v>
      </c>
      <c r="BE14" s="220">
        <f>IF(ISNUMBER(BB14/BA14),BB14/BA14, " - ")</f>
        <v>0.41421800947867299</v>
      </c>
      <c r="BF14" s="220">
        <f>IF(ISNUMBER(BC14/BA14),BC14/BA14, " - ")</f>
        <v>0.59123222748815163</v>
      </c>
      <c r="BG14" s="221">
        <f>IF(ISNUMBER((AY14+AZ14)/BA14),(AY14+AZ14)/BA14," - ")</f>
        <v>1.4390995260663506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1342</v>
      </c>
      <c r="J17" s="196">
        <v>6621</v>
      </c>
      <c r="K17" s="196">
        <v>6837</v>
      </c>
      <c r="L17" s="196">
        <v>1345</v>
      </c>
      <c r="M17" s="196">
        <v>829</v>
      </c>
      <c r="N17" s="196">
        <v>4292</v>
      </c>
      <c r="O17" s="194">
        <v>77</v>
      </c>
      <c r="P17" s="196">
        <v>252</v>
      </c>
      <c r="Q17" s="196">
        <v>241</v>
      </c>
      <c r="R17" s="196">
        <v>313</v>
      </c>
      <c r="S17" s="196">
        <v>1445</v>
      </c>
      <c r="T17" s="196">
        <v>6306</v>
      </c>
      <c r="U17" s="196">
        <v>6483</v>
      </c>
      <c r="V17" s="196">
        <v>1342</v>
      </c>
      <c r="W17" s="196">
        <v>887</v>
      </c>
      <c r="X17" s="202">
        <v>3986</v>
      </c>
      <c r="Y17" s="215">
        <v>0</v>
      </c>
      <c r="Z17" s="196">
        <v>0</v>
      </c>
      <c r="AA17" s="196">
        <v>0</v>
      </c>
      <c r="AB17" s="196">
        <v>0</v>
      </c>
      <c r="AC17" s="196">
        <v>4</v>
      </c>
      <c r="AD17" s="196">
        <v>311</v>
      </c>
      <c r="AE17" s="196">
        <v>311</v>
      </c>
      <c r="AF17" s="202">
        <v>4</v>
      </c>
      <c r="AG17" s="215">
        <v>0</v>
      </c>
      <c r="AH17" s="196">
        <v>0</v>
      </c>
      <c r="AI17" s="196">
        <v>0</v>
      </c>
      <c r="AJ17" s="216">
        <v>0</v>
      </c>
      <c r="AK17" s="195">
        <v>5</v>
      </c>
      <c r="AL17" s="196">
        <v>314</v>
      </c>
      <c r="AM17" s="196">
        <v>315</v>
      </c>
      <c r="AN17" s="202">
        <v>4</v>
      </c>
      <c r="AO17" s="283">
        <v>8</v>
      </c>
      <c r="AP17" s="168">
        <v>8</v>
      </c>
      <c r="AQ17" s="168">
        <v>8</v>
      </c>
      <c r="AR17" s="168">
        <v>8</v>
      </c>
      <c r="AS17" s="381" t="s">
        <v>650</v>
      </c>
      <c r="AT17" s="216"/>
      <c r="AU17" s="215"/>
      <c r="AV17" s="216"/>
      <c r="AW17" s="215"/>
      <c r="AX17" s="216"/>
      <c r="AY17" s="136">
        <f t="shared" si="10"/>
        <v>1445</v>
      </c>
      <c r="AZ17" s="137">
        <f t="shared" si="10"/>
        <v>6306</v>
      </c>
      <c r="BA17" s="137">
        <f t="shared" si="10"/>
        <v>6483</v>
      </c>
      <c r="BB17" s="137">
        <f t="shared" si="10"/>
        <v>1342</v>
      </c>
      <c r="BC17" s="135">
        <f>IF(ISNUMBER(W17),W17," - ")</f>
        <v>887</v>
      </c>
      <c r="BD17" s="136">
        <f t="shared" ref="BD17:BD22" si="12">IF(ISNUMBER(BA17/AZ17),BA17/AZ17," - ")</f>
        <v>1.028068506184586</v>
      </c>
      <c r="BE17" s="137">
        <f t="shared" ref="BE17:BE22" si="13">IF(ISNUMBER(BB17/BA17),BB17/BA17, " - ")</f>
        <v>0.20700293074194046</v>
      </c>
      <c r="BF17" s="137">
        <f t="shared" ref="BF17:BF22" si="14">IF(ISNUMBER(BC17/BA17),BC17/BA17, " - ")</f>
        <v>0.13681937374672221</v>
      </c>
      <c r="BG17" s="209">
        <f t="shared" si="11"/>
        <v>1.1955884621317292</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945</v>
      </c>
      <c r="K18" s="196">
        <v>967</v>
      </c>
      <c r="L18" s="196">
        <v>79</v>
      </c>
      <c r="M18" s="196">
        <v>118</v>
      </c>
      <c r="N18" s="196">
        <v>459</v>
      </c>
      <c r="O18" s="196">
        <v>35</v>
      </c>
      <c r="P18" s="196">
        <v>32</v>
      </c>
      <c r="Q18" s="196">
        <v>34</v>
      </c>
      <c r="R18" s="196">
        <v>13</v>
      </c>
      <c r="S18" s="196">
        <v>81</v>
      </c>
      <c r="T18" s="196">
        <v>787</v>
      </c>
      <c r="U18" s="196">
        <v>777</v>
      </c>
      <c r="V18" s="196">
        <v>98</v>
      </c>
      <c r="W18" s="196">
        <v>73</v>
      </c>
      <c r="X18" s="202">
        <v>411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81</v>
      </c>
      <c r="AZ18" s="139">
        <f t="shared" si="15"/>
        <v>787</v>
      </c>
      <c r="BA18" s="139">
        <f t="shared" si="15"/>
        <v>777</v>
      </c>
      <c r="BB18" s="139">
        <f t="shared" si="15"/>
        <v>98</v>
      </c>
      <c r="BC18" s="135">
        <f>IF(ISNUMBER(W18),W18," - ")</f>
        <v>73</v>
      </c>
      <c r="BD18" s="136">
        <f>IF(ISNUMBER(BA18/AZ18),BA18/AZ18," - ")</f>
        <v>0.98729351969504442</v>
      </c>
      <c r="BE18" s="137">
        <f>IF(ISNUMBER(BB18/BA18),BB18/BA18, " - ")</f>
        <v>0.12612612612612611</v>
      </c>
      <c r="BF18" s="137">
        <f>IF(ISNUMBER(BC18/BA18),BC18/BA18, " - ")</f>
        <v>9.3951093951093953E-2</v>
      </c>
      <c r="BG18" s="209">
        <f>IF(ISNUMBER((AY18+AZ18)/BA18),(AY18+AZ18)/BA18," - ")</f>
        <v>1.117117117117117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1440</v>
      </c>
      <c r="J23" s="197">
        <f t="shared" si="21"/>
        <v>7566</v>
      </c>
      <c r="K23" s="197">
        <f t="shared" si="21"/>
        <v>7804</v>
      </c>
      <c r="L23" s="197">
        <f t="shared" si="21"/>
        <v>1424</v>
      </c>
      <c r="M23" s="197">
        <f t="shared" si="21"/>
        <v>947</v>
      </c>
      <c r="N23" s="197">
        <f t="shared" si="21"/>
        <v>4751</v>
      </c>
      <c r="O23" s="197">
        <f t="shared" si="21"/>
        <v>112</v>
      </c>
      <c r="P23" s="197">
        <f t="shared" si="21"/>
        <v>284</v>
      </c>
      <c r="Q23" s="197">
        <f t="shared" si="21"/>
        <v>275</v>
      </c>
      <c r="R23" s="197">
        <f t="shared" si="21"/>
        <v>326</v>
      </c>
      <c r="S23" s="197">
        <f t="shared" si="21"/>
        <v>1526</v>
      </c>
      <c r="T23" s="197">
        <f t="shared" si="21"/>
        <v>7093</v>
      </c>
      <c r="U23" s="197">
        <f t="shared" si="21"/>
        <v>7260</v>
      </c>
      <c r="V23" s="197">
        <f t="shared" si="21"/>
        <v>1440</v>
      </c>
      <c r="W23" s="197">
        <f t="shared" si="21"/>
        <v>960</v>
      </c>
      <c r="X23" s="197">
        <f t="shared" si="21"/>
        <v>4397</v>
      </c>
      <c r="Y23" s="197">
        <f t="shared" si="21"/>
        <v>0</v>
      </c>
      <c r="Z23" s="197">
        <f t="shared" si="21"/>
        <v>0</v>
      </c>
      <c r="AA23" s="197">
        <f t="shared" si="21"/>
        <v>0</v>
      </c>
      <c r="AB23" s="197">
        <f t="shared" si="21"/>
        <v>0</v>
      </c>
      <c r="AC23" s="197">
        <f t="shared" si="21"/>
        <v>4</v>
      </c>
      <c r="AD23" s="197">
        <f t="shared" si="21"/>
        <v>311</v>
      </c>
      <c r="AE23" s="197">
        <f t="shared" si="21"/>
        <v>311</v>
      </c>
      <c r="AF23" s="197">
        <f t="shared" si="21"/>
        <v>4</v>
      </c>
      <c r="AG23" s="197">
        <f t="shared" si="21"/>
        <v>0</v>
      </c>
      <c r="AH23" s="197">
        <f t="shared" si="21"/>
        <v>0</v>
      </c>
      <c r="AI23" s="197">
        <f t="shared" si="21"/>
        <v>0</v>
      </c>
      <c r="AJ23" s="197">
        <f t="shared" si="21"/>
        <v>0</v>
      </c>
      <c r="AK23" s="197">
        <f t="shared" si="21"/>
        <v>5</v>
      </c>
      <c r="AL23" s="197">
        <f t="shared" si="21"/>
        <v>314</v>
      </c>
      <c r="AM23" s="197">
        <f t="shared" si="21"/>
        <v>315</v>
      </c>
      <c r="AN23" s="197">
        <f t="shared" si="21"/>
        <v>4</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1526</v>
      </c>
      <c r="AZ23" s="197">
        <f>SUBTOTAL(9,AZ15:AZ22)</f>
        <v>7093</v>
      </c>
      <c r="BA23" s="197">
        <f>SUBTOTAL(9,BA15:BA22)</f>
        <v>7260</v>
      </c>
      <c r="BB23" s="197">
        <f>SUBTOTAL(9,BB15:BB22)</f>
        <v>1440</v>
      </c>
      <c r="BC23" s="197">
        <f>SUBTOTAL(9,BC15:BC22)</f>
        <v>960</v>
      </c>
      <c r="BD23" s="219">
        <f>IF(ISNUMBER(BA23/AZ23),BA23/AZ23," - ")</f>
        <v>1.0235443394896377</v>
      </c>
      <c r="BE23" s="220">
        <f>IF(ISNUMBER(BB23/BA23),BB23/BA23, " - ")</f>
        <v>0.19834710743801653</v>
      </c>
      <c r="BF23" s="220">
        <f>IF(ISNUMBER(BC23/BA23),BC23/BA23, " - ")</f>
        <v>0.13223140495867769</v>
      </c>
      <c r="BG23" s="221">
        <f>IF(ISNUMBER((AY23+AZ23)/BA23),(AY23+AZ23)/BA23," - ")</f>
        <v>1.187190082644628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4843</v>
      </c>
      <c r="J31" s="144">
        <f t="shared" si="36"/>
        <v>15275</v>
      </c>
      <c r="K31" s="144">
        <f t="shared" si="36"/>
        <v>15116</v>
      </c>
      <c r="L31" s="144">
        <f t="shared" si="36"/>
        <v>5882</v>
      </c>
      <c r="M31" s="144">
        <f t="shared" si="36"/>
        <v>2366</v>
      </c>
      <c r="N31" s="144">
        <f t="shared" si="36"/>
        <v>9810</v>
      </c>
      <c r="O31" s="144">
        <f t="shared" si="36"/>
        <v>2670</v>
      </c>
      <c r="P31" s="144">
        <f t="shared" si="36"/>
        <v>1562</v>
      </c>
      <c r="Q31" s="144">
        <f t="shared" si="36"/>
        <v>1557</v>
      </c>
      <c r="R31" s="144">
        <f t="shared" si="36"/>
        <v>6588</v>
      </c>
      <c r="S31" s="144">
        <f t="shared" si="36"/>
        <v>4649</v>
      </c>
      <c r="T31" s="144">
        <f t="shared" si="36"/>
        <v>14984</v>
      </c>
      <c r="U31" s="144">
        <f t="shared" si="36"/>
        <v>14769</v>
      </c>
      <c r="V31" s="144">
        <f t="shared" si="36"/>
        <v>4843</v>
      </c>
      <c r="W31" s="144">
        <f t="shared" si="36"/>
        <v>2365</v>
      </c>
      <c r="X31" s="144">
        <f t="shared" si="36"/>
        <v>9409</v>
      </c>
      <c r="Y31" s="144">
        <f t="shared" si="36"/>
        <v>93</v>
      </c>
      <c r="Z31" s="144">
        <f t="shared" si="36"/>
        <v>1003</v>
      </c>
      <c r="AA31" s="144">
        <f t="shared" si="36"/>
        <v>988</v>
      </c>
      <c r="AB31" s="144">
        <f t="shared" si="36"/>
        <v>136</v>
      </c>
      <c r="AC31" s="144">
        <f t="shared" si="36"/>
        <v>4</v>
      </c>
      <c r="AD31" s="144">
        <f t="shared" si="36"/>
        <v>311</v>
      </c>
      <c r="AE31" s="144">
        <f t="shared" si="36"/>
        <v>311</v>
      </c>
      <c r="AF31" s="144">
        <f t="shared" si="36"/>
        <v>4</v>
      </c>
      <c r="AG31" s="144">
        <f t="shared" si="36"/>
        <v>171</v>
      </c>
      <c r="AH31" s="144">
        <f t="shared" si="36"/>
        <v>961</v>
      </c>
      <c r="AI31" s="144">
        <f t="shared" si="36"/>
        <v>931</v>
      </c>
      <c r="AJ31" s="144">
        <f t="shared" si="36"/>
        <v>93</v>
      </c>
      <c r="AK31" s="144">
        <f t="shared" si="36"/>
        <v>5</v>
      </c>
      <c r="AL31" s="144">
        <f t="shared" si="36"/>
        <v>314</v>
      </c>
      <c r="AM31" s="144">
        <f t="shared" si="36"/>
        <v>315</v>
      </c>
      <c r="AN31" s="224">
        <f t="shared" si="36"/>
        <v>4</v>
      </c>
      <c r="AO31" s="225">
        <v>9</v>
      </c>
      <c r="AP31" s="225">
        <v>9</v>
      </c>
      <c r="AQ31" s="225">
        <v>9</v>
      </c>
      <c r="AR31" s="225">
        <v>9</v>
      </c>
      <c r="AS31" s="166">
        <f t="shared" si="36"/>
        <v>0</v>
      </c>
      <c r="AT31" s="166">
        <f t="shared" si="36"/>
        <v>0</v>
      </c>
      <c r="AU31" s="225"/>
      <c r="AV31" s="226"/>
      <c r="AW31" s="225"/>
      <c r="AX31" s="226"/>
      <c r="AY31" s="143">
        <f>SUBTOTAL(9,AY9:AY30)</f>
        <v>4820</v>
      </c>
      <c r="AZ31" s="144">
        <f>SUBTOTAL(9,AZ9:AZ30)</f>
        <v>15945</v>
      </c>
      <c r="BA31" s="144">
        <f>SUBTOTAL(9,BA9:BA30)</f>
        <v>15700</v>
      </c>
      <c r="BB31" s="144">
        <f>SUBTOTAL(9,BB9:BB30)</f>
        <v>4936</v>
      </c>
      <c r="BC31" s="145">
        <f>SUBTOTAL(9,BC9:BC30)</f>
        <v>5950</v>
      </c>
      <c r="BD31" s="227">
        <f>IF(ISNUMBER(BA31/AZ31),BA31/AZ31," - ")</f>
        <v>0.98463468171840707</v>
      </c>
      <c r="BE31" s="224">
        <f>IF(ISNUMBER(BB31/BA31),BB31/BA31, " - ")</f>
        <v>0.31439490445859875</v>
      </c>
      <c r="BF31" s="224">
        <f>IF(ISNUMBER(BC31/BA31),BC31/BA31, " - ")</f>
        <v>0.37898089171974525</v>
      </c>
      <c r="BG31" s="145">
        <f>IF(ISNUMBER((AY31+AZ31)/BA31),(AY31+AZ31)/BA31," - ")</f>
        <v>1.3226114649681529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nUJrwEWvTYMC6g8oa7ZUiYeq2+7eustbKyZZQvjW/Hmi1nCtNwie4curyOhvuvZmkgTPh4izIT/JM5K06rKjA==" saltValue="PABFkrrAy1Ompm1uUlaj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01NSO9b4E5zFFPomTAi+1dWjtXgFygTstIGALGzr4b6nrSkBr/nB8uyVMvcZqz+K/Jr5AJKXGlv+hrofaH/Q==" saltValue="oMXKvJ3zVuFSm0jIG+Fw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COLLADO VILLALBA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108</v>
      </c>
      <c r="AC10" s="547">
        <f>IF(ISNUMBER(Datos!Q10),Datos!Q10," - ")</f>
        <v>30</v>
      </c>
      <c r="AD10" s="549"/>
      <c r="AE10" s="563"/>
      <c r="AF10" s="551">
        <f>IF(ISNUMBER(Datos!L10),Datos!L10,"-")</f>
        <v>44</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61</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4.481481481481481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-0.19298245614035087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1003</v>
      </c>
      <c r="O12" s="549"/>
      <c r="P12" s="549"/>
      <c r="Q12" s="547">
        <f>IF(ISNUMBER(Datos!P12),Datos!P12,0)</f>
        <v>1259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6216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1392</v>
      </c>
      <c r="BD12" s="693">
        <f>IF(ISNUMBER(Datos!N12),Datos!N12," - ")</f>
        <v>4998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0.95411134404845099</v>
      </c>
      <c r="BH12" s="764">
        <f>IF(ISNUMBER(((IF(J_V="SI",Datos!L12/Datos!K12,(Datos!L12+Datos!AB12)/(Datos!K12+Datos!AA12)))*11)/factor_trimestre),((IF(J_V="SI",Datos!L12/Datos!K12,(Datos!L12+Datos!AB12)/(Datos!K12+Datos!AA12)))*11)/factor_trimestre," - ")</f>
        <v>6.109619140625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1.1273957158962795E-3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1003</v>
      </c>
      <c r="O14" s="1199">
        <f t="shared" si="1"/>
        <v>0</v>
      </c>
      <c r="P14" s="1199">
        <f t="shared" si="1"/>
        <v>0</v>
      </c>
      <c r="Q14" s="1198">
        <f t="shared" si="1"/>
        <v>1278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108</v>
      </c>
      <c r="AC14" s="1198">
        <f t="shared" si="2"/>
        <v>1282</v>
      </c>
      <c r="AD14" s="1198">
        <f t="shared" si="2"/>
        <v>0</v>
      </c>
      <c r="AE14" s="1198">
        <f t="shared" si="2"/>
        <v>0</v>
      </c>
      <c r="AF14" s="1198">
        <f t="shared" si="2"/>
        <v>44</v>
      </c>
      <c r="AG14" s="1198">
        <f t="shared" si="2"/>
        <v>0</v>
      </c>
      <c r="AH14" s="1198">
        <f t="shared" si="2"/>
        <v>136</v>
      </c>
      <c r="AI14" s="1198">
        <f t="shared" si="2"/>
        <v>0</v>
      </c>
      <c r="AJ14" s="1198">
        <f t="shared" si="2"/>
        <v>0</v>
      </c>
      <c r="AK14" s="1198">
        <f t="shared" si="2"/>
        <v>0</v>
      </c>
      <c r="AL14" s="1198">
        <f t="shared" si="2"/>
        <v>0</v>
      </c>
      <c r="AM14" s="1198">
        <f t="shared" si="2"/>
        <v>6262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1419</v>
      </c>
      <c r="BD14" s="1198">
        <f t="shared" si="2"/>
        <v>5059</v>
      </c>
      <c r="BE14" s="1198">
        <f t="shared" si="2"/>
        <v>0</v>
      </c>
      <c r="BF14" s="1198">
        <f t="shared" si="2"/>
        <v>0</v>
      </c>
      <c r="BG14" s="1198">
        <f>IF(ISNUMBER(Datos!K14/Datos!J14),Datos!K14/Datos!J14," - ")</f>
        <v>0.94850175119989621</v>
      </c>
      <c r="BH14" s="1202">
        <f>IF(ISNUMBER(((Datos!L14/Datos!K14)*11)/factor_trimestre),((Datos!L14/Datos!K14)*11)/factor_trimestre," - ")</f>
        <v>6.7065098468271334</v>
      </c>
      <c r="BI14" s="1198">
        <f>IF(ISNUMBER('Resol  Asuntos'!D14/NºAsuntos!G14),'Resol  Asuntos'!D14/NºAsuntos!G14," - ")</f>
        <v>0.17096385542168674</v>
      </c>
      <c r="BJ14" s="1198" t="str">
        <f>IF(ISNUMBER(Datos!CI14/Datos!CJ14),Datos!CI14/Datos!CJ14," - ")</f>
        <v xml:space="preserve"> - </v>
      </c>
      <c r="BK14" s="1198">
        <f>SUBTOTAL(9,BK8:BK13)</f>
        <v>0</v>
      </c>
      <c r="BL14" s="1198">
        <f>IF(ISNUMBER((I14-AB14+L14)/(F14)),(I14-AB14+L14)/(F14)," - ")</f>
        <v>-4.1538461538461542</v>
      </c>
      <c r="BM14" s="1203">
        <f>SUBTOTAL(9,BM9:BM13)</f>
        <v>-0.19185506042445458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1561</v>
      </c>
      <c r="G17" s="743">
        <f>IF(ISNUMBER(IF(D_I="SI",Datos!I17,Datos!I17+Datos!AC17)),IF(D_I="SI",Datos!I17,Datos!I17+Datos!AC17)," - ")</f>
        <v>1342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6837</v>
      </c>
      <c r="AC17" s="240">
        <f>IF(ISNUMBER(Datos!Q17),Datos!Q17," - ")</f>
        <v>241</v>
      </c>
      <c r="AD17" s="374"/>
      <c r="AE17" s="562"/>
      <c r="AF17" s="741">
        <f>IF(ISNUMBER(IF(D_I="SI",Datos!L17,Datos!L17+Datos!AF17)),IF(D_I="SI",Datos!L17,Datos!L17+Datos!AF17)," - ")</f>
        <v>1345</v>
      </c>
      <c r="AG17" s="374"/>
      <c r="AH17" s="374"/>
      <c r="AI17" s="374"/>
      <c r="AJ17" s="549"/>
      <c r="AK17" s="374"/>
      <c r="AL17" s="545"/>
      <c r="AM17" s="375">
        <f>IF(ISNUMBER(Datos!R17),Datos!R17," - ")</f>
        <v>313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829</v>
      </c>
      <c r="BD17" s="243">
        <f>IF(ISNUMBER(Datos!N17),Datos!N17," - ")</f>
        <v>4292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1.0326234707748074</v>
      </c>
      <c r="BH17" s="764">
        <f>IF(ISNUMBER(((IF(D_I="SI",Datos!L17/Datos!K17,(Datos!L17+Datos!AF17)/(Datos!K17+Datos!AE17)))*11)/factor_trimestre),((IF(D_I="SI",Datos!L17/Datos!K17,(Datos!L17+Datos!AF17)/(Datos!K17+Datos!AE17)))*11)/factor_trimestre," - ")</f>
        <v>2.1639608015211351</v>
      </c>
      <c r="BI17" s="266">
        <f>IF(ISNUMBER('Resol  Asuntos'!D17/NºAsuntos!G17),'Resol  Asuntos'!D17/NºAsuntos!G17," - ")</f>
        <v>0.12125201111598655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967</v>
      </c>
      <c r="AC18" s="547">
        <f>IF(ISNUMBER(Datos!Q18),Datos!Q18," - ")</f>
        <v>34</v>
      </c>
      <c r="AD18" s="549"/>
      <c r="AE18" s="562"/>
      <c r="AF18" s="551">
        <f>IF(ISNUMBER(Datos!L18),Datos!L18,"-")</f>
        <v>79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118</v>
      </c>
      <c r="BD18" s="693">
        <f>IF(ISNUMBER(Datos!N18),Datos!N18," - ")</f>
        <v>459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1.0232804232804233</v>
      </c>
      <c r="BH18" s="764">
        <f>IF(ISNUMBER(((IF(D_I="SI",Datos!L18/Datos!K18,(Datos!L18+Datos!AF18)/(Datos!K18+Datos!AE18)))*11)/factor_trimestre),((IF(D_I="SI",Datos!L18/Datos!K18,(Datos!L18+Datos!AF18)/(Datos!K18+Datos!AE18)))*11)/factor_trimestre," - ")</f>
        <v>0.89865563598759046</v>
      </c>
      <c r="BI18" s="763">
        <f>IF(ISNUMBER('Resol  Asuntos'!D18/NºAsuntos!G18),'Resol  Asuntos'!D18/NºAsuntos!G18," - ")</f>
        <v>0.12202688728024819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9</v>
      </c>
      <c r="F23" s="1197">
        <f>SUBTOTAL(9,F16:F22)</f>
        <v>1561</v>
      </c>
      <c r="G23" s="1197">
        <f>SUBTOTAL(9,G16:G22)</f>
        <v>1440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7804</v>
      </c>
      <c r="AC23" s="1198">
        <f t="shared" si="5"/>
        <v>275</v>
      </c>
      <c r="AD23" s="1198">
        <f t="shared" si="5"/>
        <v>0</v>
      </c>
      <c r="AE23" s="1198">
        <f t="shared" si="5"/>
        <v>0</v>
      </c>
      <c r="AF23" s="1198">
        <f t="shared" si="5"/>
        <v>1424</v>
      </c>
      <c r="AG23" s="1198">
        <f t="shared" si="5"/>
        <v>0</v>
      </c>
      <c r="AH23" s="1198">
        <f t="shared" si="5"/>
        <v>0</v>
      </c>
      <c r="AI23" s="1198">
        <f t="shared" si="5"/>
        <v>0</v>
      </c>
      <c r="AJ23" s="1198">
        <f t="shared" si="5"/>
        <v>0</v>
      </c>
      <c r="AK23" s="1198">
        <f t="shared" si="5"/>
        <v>0</v>
      </c>
      <c r="AL23" s="1198">
        <f t="shared" si="5"/>
        <v>0</v>
      </c>
      <c r="AM23" s="1198">
        <f t="shared" si="5"/>
        <v>326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947</v>
      </c>
      <c r="BD23" s="1198">
        <f t="shared" si="5"/>
        <v>4751</v>
      </c>
      <c r="BE23" s="1198">
        <f t="shared" si="5"/>
        <v>0</v>
      </c>
      <c r="BF23" s="1198">
        <f t="shared" si="5"/>
        <v>0</v>
      </c>
      <c r="BG23" s="1198">
        <f>IF(ISNUMBER(Datos!K23/Datos!J23),Datos!K23/Datos!J23," - ")</f>
        <v>1.0314565159925986</v>
      </c>
      <c r="BH23" s="1202">
        <f>IF(ISNUMBER(((Datos!L23/Datos!K23)*11)/factor_trimestre),((Datos!L23/Datos!K23)*11)/factor_trimestre," - ")</f>
        <v>2.0071758072783186</v>
      </c>
      <c r="BI23" s="1198">
        <f>SUBTOTAL(9,BI16:BI22)</f>
        <v>0.24327889839623473</v>
      </c>
      <c r="BJ23" s="1198">
        <f>SUBTOTAL(9,BJ16:BJ22)</f>
        <v>0</v>
      </c>
      <c r="BK23" s="1198">
        <f>SUBTOTAL(9,BK16:BK22)</f>
        <v>0</v>
      </c>
      <c r="BL23" s="1198">
        <f>IF(ISNUMBER((I23-AB23+L23)/(F23)),(I23-AB23+L23)/(F23)," - ")</f>
        <v>-4.9993593850096092</v>
      </c>
      <c r="BM23" s="1205">
        <f>IF(ISNUMBER((Datos!P23-Datos!Q23)/(Datos!R23-Datos!P23+Datos!Q23)),(Datos!P23-Datos!Q23)/(Datos!R23-Datos!P23+Datos!Q23)," - ")</f>
        <v>2.8391167192429023E-2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1587</v>
      </c>
      <c r="G31" s="1117">
        <f t="shared" si="18"/>
        <v>1466</v>
      </c>
      <c r="H31" s="1119">
        <f t="shared" si="18"/>
        <v>0</v>
      </c>
      <c r="I31" s="1117">
        <f t="shared" si="18"/>
        <v>0</v>
      </c>
      <c r="J31" s="1119">
        <f t="shared" si="18"/>
        <v>0</v>
      </c>
      <c r="K31" s="1119">
        <f t="shared" si="18"/>
        <v>0</v>
      </c>
      <c r="L31" s="1180">
        <f t="shared" si="18"/>
        <v>0</v>
      </c>
      <c r="M31" s="1180">
        <f t="shared" si="18"/>
        <v>0</v>
      </c>
      <c r="N31" s="1180">
        <f t="shared" si="18"/>
        <v>1003</v>
      </c>
      <c r="O31" s="1180">
        <f t="shared" si="18"/>
        <v>0</v>
      </c>
      <c r="P31" s="1180">
        <f t="shared" si="18"/>
        <v>0</v>
      </c>
      <c r="Q31" s="1119">
        <f t="shared" si="18"/>
        <v>1562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7912</v>
      </c>
      <c r="AC31" s="1118">
        <f t="shared" si="19"/>
        <v>1557</v>
      </c>
      <c r="AD31" s="1118">
        <f t="shared" si="19"/>
        <v>0</v>
      </c>
      <c r="AE31" s="1118">
        <f t="shared" si="19"/>
        <v>0</v>
      </c>
      <c r="AF31" s="1125">
        <f t="shared" si="19"/>
        <v>1468</v>
      </c>
      <c r="AG31" s="1125">
        <f t="shared" si="19"/>
        <v>0</v>
      </c>
      <c r="AH31" s="1125">
        <f t="shared" si="19"/>
        <v>136</v>
      </c>
      <c r="AI31" s="1125">
        <f t="shared" si="19"/>
        <v>0</v>
      </c>
      <c r="AJ31" s="1118">
        <f t="shared" si="19"/>
        <v>0</v>
      </c>
      <c r="AK31" s="1125">
        <f t="shared" si="19"/>
        <v>0</v>
      </c>
      <c r="AL31" s="1125">
        <f t="shared" si="19"/>
        <v>0</v>
      </c>
      <c r="AM31" s="1125">
        <f t="shared" si="19"/>
        <v>6588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2366</v>
      </c>
      <c r="BD31" s="1117">
        <f t="shared" si="19"/>
        <v>9810</v>
      </c>
      <c r="BE31" s="1117">
        <f t="shared" si="19"/>
        <v>0</v>
      </c>
      <c r="BF31" s="1127">
        <f t="shared" si="19"/>
        <v>0</v>
      </c>
      <c r="BG31" s="1223">
        <f>IF(ISNUMBER(Datos!K31/Datos!J31),Datos!K31/Datos!J31," - ")</f>
        <v>0.98959083469721765</v>
      </c>
      <c r="BH31" s="1223">
        <f>IF(ISNUMBER(((Datos!L31/Datos!K31)*11)/factor_trimestre),((Datos!L31/Datos!K31)*11)/factor_trimestre," - ")</f>
        <v>4.2803651759724799</v>
      </c>
      <c r="BI31" s="1103">
        <f>IF(ISNUMBER(Datos!J31/Datos!I31),Datos!J31/Datos!I31," - ")</f>
        <v>3.1540367540780507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-4.9855072463768115</v>
      </c>
      <c r="BM31" s="1188">
        <f>IF(ISNUMBER((Datos!P31-Datos!Q31+R31)/(Datos!R31-Datos!P31+Datos!Q31-R31)),(Datos!P31-Datos!Q31+R31)/(Datos!R31-Datos!P31+Datos!Q31-R31)," - ")</f>
        <v>7.595321282090232E-4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799.46832332494569</v>
      </c>
      <c r="G33" s="674">
        <f>IF(ISNUMBER(STDEV(G8:G30)),STDEV(G8:G30),"-")</f>
        <v>665.51118912993707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3484.1096355282725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626.89142372731271</v>
      </c>
      <c r="BD33" s="673"/>
      <c r="BE33" s="673">
        <f>IF(ISNUMBER(STDEV(BE8:BE30)),STDEV(BE8:BE30),"-")</f>
        <v>0</v>
      </c>
      <c r="BF33" s="678">
        <f>IF(ISNUMBER(STDEV(BF8:BF30)),STDEV(BF8:BF30),"-")</f>
        <v>0</v>
      </c>
      <c r="BG33" s="1052">
        <f>IF(ISNUMBER(STDEV(BG8:BG30)),STDEV(BG8:BG30),"-")</f>
        <v>6.9088660747497505E-2</v>
      </c>
      <c r="BH33" s="1058">
        <f>IF(ISNUMBER(STDEV(BH8:BH30)),STDEV(BH8:BH30),"-")</f>
        <v>2.3884726906087095</v>
      </c>
      <c r="BI33" s="273">
        <f>IF(ISNUMBER(STDEV(BI8:BI30)),STDEV(BI8:BI30),"-")</f>
        <v>5.750997855996285E-2</v>
      </c>
      <c r="BJ33" s="244" t="str">
        <f>IF(ISNUMBER(BL33/BM33),BL33/BM33," - ")</f>
        <v xml:space="preserve"> - </v>
      </c>
      <c r="BK33" s="709"/>
      <c r="BL33" s="681">
        <f>IF(ISNUMBER(STDEV(BL8:BL30)),STDEV(BL8:BL30),"-")</f>
        <v>0.59786813933862792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3jyZJyMp28+Boiv1P2xWr2GrtH+nVnI9C309FUMfJCxLYGOPkLKBTekm9q7rUgYe5gLcAnxsM50qre2p8zTNMg==" saltValue="XuwWlABYjRc5uzpLh+Tt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COLLADO VILLALBA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108</v>
      </c>
      <c r="Z10" s="805">
        <f>IF(ISNUMBER(Datos!Q10),Datos!Q10," - ")</f>
        <v>30</v>
      </c>
      <c r="AA10" s="551">
        <f>IF(ISNUMBER(Datos!L10),Datos!L10,"-")</f>
        <v>44</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27</v>
      </c>
      <c r="AK10" s="693">
        <f>IF(ISNUMBER(Datos!N10),Datos!N10," - ")</f>
        <v>61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4.481481481481481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-0.19298245614035087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1252</v>
      </c>
      <c r="AA12" s="551" t="str">
        <f>IF(ISNUMBER(IF(J_V="SI",Datos!L12,Datos!L12+Datos!AB12)-IF(Monitorios="SI",Datos!CD12,0)),
                          IF(J_V="SI",Datos!L12,Datos!L12+Datos!AB12)-IF(Monitorios="SI",Datos!CD12,0),
                          " - ")</f>
        <v xml:space="preserve"> - </v>
      </c>
      <c r="AB12" s="549"/>
      <c r="AC12" s="549"/>
      <c r="AD12" s="563"/>
      <c r="AE12" s="563">
        <f>IF(ISNUMBER(Datos!R12),Datos!R12," - ")</f>
        <v>6216</v>
      </c>
      <c r="AF12" s="693" t="str">
        <f>IF(ISNUMBER(Datos!BV12),Datos!BV12," - ")</f>
        <v xml:space="preserve"> - </v>
      </c>
      <c r="AG12" s="552" t="str">
        <f>IF(ISNUMBER(Datos!DV12),Datos!DV12," - ")</f>
        <v xml:space="preserve"> - </v>
      </c>
      <c r="AH12" s="553"/>
      <c r="AI12" s="554"/>
      <c r="AJ12" s="552">
        <f>IF(ISNUMBER(Datos!M12),Datos!M12," - ")</f>
        <v>1392</v>
      </c>
      <c r="AK12" s="693">
        <f>IF(ISNUMBER(Datos!N12),Datos!N12," - ")</f>
        <v>4998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6.109619140625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1.1273957158962795E-3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1278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108</v>
      </c>
      <c r="Z14" s="1210">
        <f t="shared" si="3"/>
        <v>1282</v>
      </c>
      <c r="AA14" s="1199">
        <f t="shared" si="3"/>
        <v>44</v>
      </c>
      <c r="AB14" s="1199">
        <f t="shared" si="3"/>
        <v>0</v>
      </c>
      <c r="AC14" s="1199">
        <f t="shared" si="3"/>
        <v>0</v>
      </c>
      <c r="AD14" s="1199">
        <f t="shared" si="3"/>
        <v>0</v>
      </c>
      <c r="AE14" s="1199">
        <f t="shared" si="3"/>
        <v>6262</v>
      </c>
      <c r="AF14" s="1211">
        <f t="shared" si="3"/>
        <v>0</v>
      </c>
      <c r="AG14" s="1211">
        <f t="shared" si="3"/>
        <v>0</v>
      </c>
      <c r="AH14" s="1211">
        <f t="shared" si="3"/>
        <v>0</v>
      </c>
      <c r="AI14" s="1211">
        <f t="shared" si="3"/>
        <v>0</v>
      </c>
      <c r="AJ14" s="1211">
        <f t="shared" si="3"/>
        <v>1419</v>
      </c>
      <c r="AK14" s="1211">
        <f t="shared" si="3"/>
        <v>5059</v>
      </c>
      <c r="AL14" s="1211">
        <f t="shared" si="3"/>
        <v>0</v>
      </c>
      <c r="AM14" s="1211">
        <f t="shared" si="3"/>
        <v>0</v>
      </c>
      <c r="AN14" s="1211">
        <f t="shared" si="3"/>
        <v>0</v>
      </c>
      <c r="AO14" s="1203">
        <f>IF(ISNUMBER(((NºAsuntos!I14/NºAsuntos!G14)*11)/factor_trimestre),((NºAsuntos!I14/NºAsuntos!G14)*11)/factor_trimestre," - ")</f>
        <v>6.088433734939759</v>
      </c>
      <c r="AP14" s="1213" t="str">
        <f>IF(ISNUMBER(Datos!CI14/Datos!CJ14),Datos!CI14/Datos!CJ14," - ")</f>
        <v xml:space="preserve"> - </v>
      </c>
      <c r="AQ14" s="1236">
        <f t="shared" ref="AQ14:AV14" si="4">SUBTOTAL(9,AQ9:AQ13)</f>
        <v>0</v>
      </c>
      <c r="AR14" s="1236">
        <f t="shared" si="4"/>
        <v>-0.19185506042445458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1561</v>
      </c>
      <c r="G17" s="552">
        <f>IF(ISNUMBER(IF(D_I="SI",Datos!I17,Datos!I17+Datos!AC17)),IF(D_I="SI",Datos!I17,Datos!I17+Datos!AC17)," - ")</f>
        <v>1342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6837</v>
      </c>
      <c r="Z17" s="805">
        <f>IF(ISNUMBER(Datos!Q17),Datos!Q17," - ")</f>
        <v>241</v>
      </c>
      <c r="AA17" s="551">
        <f>IF(ISNUMBER(IF(D_I="SI",Datos!L17,Datos!L17+Datos!AF17)),IF(D_I="SI",Datos!L17,Datos!L17+Datos!AF17)," - ")</f>
        <v>1345</v>
      </c>
      <c r="AB17" s="549"/>
      <c r="AC17" s="549"/>
      <c r="AD17" s="563"/>
      <c r="AE17" s="563">
        <f>IF(ISNUMBER(Datos!R17),Datos!R17," - ")</f>
        <v>313</v>
      </c>
      <c r="AF17" s="693" t="str">
        <f>IF(ISNUMBER(Datos!BV17),Datos!BV17," - ")</f>
        <v xml:space="preserve"> - </v>
      </c>
      <c r="AG17" s="552"/>
      <c r="AH17" s="553"/>
      <c r="AI17" s="554"/>
      <c r="AJ17" s="552">
        <f>IF(ISNUMBER(Datos!M17),Datos!M17," - ")</f>
        <v>829</v>
      </c>
      <c r="AK17" s="693">
        <f>IF(ISNUMBER(Datos!N17),Datos!N17," - ")</f>
        <v>4292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2.1639608015211351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967</v>
      </c>
      <c r="Z18" s="805">
        <f>IF(ISNUMBER(Datos!Q18),Datos!Q18," - ")</f>
        <v>34</v>
      </c>
      <c r="AA18" s="551">
        <f>IF(ISNUMBER(Datos!L18),Datos!L18,"-")</f>
        <v>79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118</v>
      </c>
      <c r="AK18" s="693">
        <f>IF(ISNUMBER(Datos!N18),Datos!N18," - ")</f>
        <v>459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0.89865563598759046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9</v>
      </c>
      <c r="F23" s="1197">
        <f>SUBTOTAL(9,F16:F22)</f>
        <v>1561</v>
      </c>
      <c r="G23" s="1197">
        <f>SUBTOTAL(9,G16:G22)</f>
        <v>1440</v>
      </c>
      <c r="H23" s="1240">
        <f>SUBTOTAL(9,H16:H22)</f>
        <v>0</v>
      </c>
      <c r="I23" s="1217">
        <f>SUBTOTAL(9,I16:I22)</f>
        <v>0</v>
      </c>
      <c r="J23" s="1164">
        <f>SUBTOTAL(9,J15:J22)</f>
        <v>0</v>
      </c>
      <c r="K23" s="1240">
        <f t="shared" ref="K23:S23" si="5">SUBTOTAL(9,K16:K22)</f>
        <v>0</v>
      </c>
      <c r="L23" s="1240">
        <f t="shared" si="5"/>
        <v>0</v>
      </c>
      <c r="M23" s="1240">
        <f t="shared" si="5"/>
        <v>0</v>
      </c>
      <c r="N23" s="1240">
        <f t="shared" si="5"/>
        <v>284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7804</v>
      </c>
      <c r="Z23" s="1240">
        <f t="shared" si="6"/>
        <v>275</v>
      </c>
      <c r="AA23" s="1240">
        <f t="shared" si="6"/>
        <v>1424</v>
      </c>
      <c r="AB23" s="1240">
        <f t="shared" si="6"/>
        <v>0</v>
      </c>
      <c r="AC23" s="1240">
        <f t="shared" si="6"/>
        <v>0</v>
      </c>
      <c r="AD23" s="1240">
        <f t="shared" si="6"/>
        <v>0</v>
      </c>
      <c r="AE23" s="1240">
        <f t="shared" si="6"/>
        <v>326</v>
      </c>
      <c r="AF23" s="1240">
        <f t="shared" si="6"/>
        <v>0</v>
      </c>
      <c r="AG23" s="1240">
        <f t="shared" si="6"/>
        <v>0</v>
      </c>
      <c r="AH23" s="1240">
        <f t="shared" si="6"/>
        <v>0</v>
      </c>
      <c r="AI23" s="1240">
        <f t="shared" si="6"/>
        <v>0</v>
      </c>
      <c r="AJ23" s="1240">
        <f t="shared" si="6"/>
        <v>947</v>
      </c>
      <c r="AK23" s="1240">
        <f t="shared" si="6"/>
        <v>4751</v>
      </c>
      <c r="AL23" s="1240">
        <f t="shared" si="6"/>
        <v>0</v>
      </c>
      <c r="AM23" s="1240">
        <f t="shared" si="6"/>
        <v>0</v>
      </c>
      <c r="AN23" s="1240">
        <f t="shared" si="6"/>
        <v>0</v>
      </c>
      <c r="AO23" s="1242">
        <f>IF(ISNUMBER(((NºAsuntos!I23/NºAsuntos!G23)*11)/factor_trimestre),((NºAsuntos!I23/NºAsuntos!G23)*11)/factor_trimestre," - ")</f>
        <v>2.0071758072783186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1587</v>
      </c>
      <c r="G31" s="1117">
        <f t="shared" si="12"/>
        <v>1466</v>
      </c>
      <c r="H31" s="1118">
        <f t="shared" si="12"/>
        <v>0</v>
      </c>
      <c r="I31" s="1117">
        <f t="shared" si="12"/>
        <v>0</v>
      </c>
      <c r="J31" s="1119">
        <f t="shared" si="12"/>
        <v>0</v>
      </c>
      <c r="K31" s="1117">
        <f t="shared" si="12"/>
        <v>0</v>
      </c>
      <c r="L31" s="1120">
        <f t="shared" si="12"/>
        <v>0</v>
      </c>
      <c r="M31" s="1117">
        <f t="shared" si="12"/>
        <v>0</v>
      </c>
      <c r="N31" s="1118">
        <f t="shared" si="12"/>
        <v>1562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7912</v>
      </c>
      <c r="Z31" s="1124">
        <f t="shared" si="13"/>
        <v>1557</v>
      </c>
      <c r="AA31" s="1125">
        <f t="shared" si="13"/>
        <v>1468</v>
      </c>
      <c r="AB31" s="1125">
        <f t="shared" si="13"/>
        <v>0</v>
      </c>
      <c r="AC31" s="1125">
        <f t="shared" si="13"/>
        <v>0</v>
      </c>
      <c r="AD31" s="1126">
        <f t="shared" si="13"/>
        <v>0</v>
      </c>
      <c r="AE31" s="1126">
        <f t="shared" si="13"/>
        <v>6588</v>
      </c>
      <c r="AF31" s="1127">
        <f t="shared" si="13"/>
        <v>0</v>
      </c>
      <c r="AG31" s="1128">
        <f t="shared" si="13"/>
        <v>0</v>
      </c>
      <c r="AH31" s="1129">
        <f t="shared" si="13"/>
        <v>0</v>
      </c>
      <c r="AI31" s="1127">
        <f t="shared" si="13"/>
        <v>0</v>
      </c>
      <c r="AJ31" s="1117">
        <f t="shared" si="13"/>
        <v>2366</v>
      </c>
      <c r="AK31" s="1117">
        <f t="shared" si="13"/>
        <v>9810</v>
      </c>
      <c r="AL31" s="1117">
        <f t="shared" si="13"/>
        <v>0</v>
      </c>
      <c r="AM31" s="1130">
        <f t="shared" si="13"/>
        <v>0</v>
      </c>
      <c r="AN31" s="1120">
        <f>IF(ISNUMBER(Datos!K31/Datos!J31),Datos!K31/Datos!J31," - ")</f>
        <v>0.98959083469721765</v>
      </c>
      <c r="AO31" s="1120">
        <f>IF(ISNUMBER(FIND("06",Criterios!A8,1)),(IF(ISNUMBER(((Datos!R31/Datos!Q31)*11)/factor_trimestre),((Datos!R31/Datos!Q31)*11)/factor_trimestre," - ")),(IF(ISNUMBER(((Datos!L31/Datos!K31)*11)/factor_trimestre),((Datos!L31/Datos!K31)*11)/factor_trimestre," - ")))</f>
        <v>4.2803651759724799</v>
      </c>
      <c r="AP31" s="1131" t="str">
        <f>IF(ISNUMBER(Datos!CI31/Datos!CJ31),Datos!CI31/Datos!CJ31," - ")</f>
        <v xml:space="preserve"> - </v>
      </c>
      <c r="AQ31" s="1131">
        <f>IF(OR(ISNUMBER(FIND("01",Criterios!A8,1)),ISNUMBER(FIND("02",Criterios!A8,1)),ISNUMBER(FIND("03",Criterios!A8,1)),ISNUMBER(FIND("04",Criterios!A8,1))),(J31-Y31+K31)/(F31-K31),(I31-Y31+K31)/(F31-K31))</f>
        <v>-4.9855072463768115</v>
      </c>
      <c r="AR31" s="1131">
        <f>IF(ISNUMBER((Datos!P31-Datos!Q31+O31)/(Datos!R31-Datos!P31+Datos!Q31-O31)),(Datos!P31-Datos!Q31+O31)/(Datos!R31-Datos!P31+Datos!Q31-O31)," - ")</f>
        <v>7.595321282090232E-4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799.46832332494569</v>
      </c>
      <c r="G33" s="674">
        <f>IF(ISNUMBER(STDEV(G8:G30)),STDEV(G8:G30),"-")</f>
        <v>665.51118912993707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626.89142372731271</v>
      </c>
      <c r="AK33" s="276"/>
      <c r="AL33" s="276">
        <f>IF(ISNUMBER(STDEV(AL8:AL30)),STDEV(AL8:AL30),"-")</f>
        <v>0</v>
      </c>
      <c r="AM33" s="278">
        <f>IF(ISNUMBER(STDEV(AM8:AM30)),STDEV(AM8:AM30),"-")</f>
        <v>0</v>
      </c>
      <c r="AN33" s="660">
        <f>IF(ISNUMBER(STDEV(AN8:AN30)),STDEV(AN8:AN30),"-")</f>
        <v>0</v>
      </c>
      <c r="AO33" s="661">
        <f>IF(ISNUMBER(STDEV(AO8:AO30)),STDEV(AO8:AO30),"-")</f>
        <v>2.2432272618783911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if8ePUvlvL6H/TfNmnuUdFXZ0JNvU6LhijkZpTgVlft4rLG0XDx292HMQ14CQMF6U8jcrqcUu+i7Y1GrEhFtDw==" saltValue="Pr6OVjfNvjRZM1sktOx7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VN/YMRVnkqBd+Pdc/NzRA/DIVG2nb14/rwH5nKXFf6P9hAoQ85HkBayJg2id2q5U4Ymk0iRGLEbA5ZYiO+sDg==" saltValue="ax2RGnB5xr8WeQlZcJqy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m/WT/03teoESCfe1MVCz18B57415av+qQ6fnVawVBWfMiCGVaczFE/bUdQEo6yfA57TDjyWEFaRhT2WjDsxg==" saltValue="9oUPsMnFSqtvyvmt8LK+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COLLADO VILLALBA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0.17096385542168674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0.12088970150647119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WGBRbiXMWrKpOwANWMipItXfvK7LuHZvYb75uBpKeiOSoSaUju9DY74DwcK8pVgBZotkVw4XXkaaBVYmk38m4w==" saltValue="hIvVW2GmcjRuwXy6R39n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9vfesOEpyb6EK0itkfFAtwFA3HDmLV9bPbMfmZwCFR6WLGcATT0x80CyCh4YusyuIMMeK+lwxBYUIPy2aswIg==" saltValue="xJfQ4fCFXBcUY7/GrGSx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COLLADO VILLALBA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126</v>
      </c>
      <c r="F10" s="452">
        <f>IF(ISNUMBER(E10/B10),E10/B10," - ")</f>
        <v>126</v>
      </c>
      <c r="G10" s="451">
        <f>IF(ISNUMBER(Datos!K10),Datos!K10," - ")</f>
        <v>108</v>
      </c>
      <c r="H10" s="452">
        <f>IF(ISNUMBER(G10/B10),G10/B10," - ")</f>
        <v>108</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3470</v>
      </c>
      <c r="D12" s="452">
        <f>IF(ISNUMBER(C12/Datos!BH12),C12/Datos!BH12," - ")</f>
        <v>433.75</v>
      </c>
      <c r="E12" s="451">
        <f>IF(ISNUMBER(IF(J_V="SI",Datos!J12,Datos!J12+Datos!Z12)),IF(J_V="SI",Datos!J12,Datos!J12+Datos!Z12)," - ")</f>
        <v>8586</v>
      </c>
      <c r="F12" s="452">
        <f>IF(ISNUMBER(E12/B12),E12/B12," - ")</f>
        <v>1073.25</v>
      </c>
      <c r="G12" s="451">
        <f>IF(ISNUMBER(IF(J_V="SI",Datos!K12,Datos!K12+Datos!AA12)),IF(J_V="SI",Datos!K12,Datos!K12+Datos!AA12)," - ")</f>
        <v>8192</v>
      </c>
      <c r="H12" s="452">
        <f>IF(ISNUMBER(G12/B12),G12/B12," - ")</f>
        <v>1024</v>
      </c>
      <c r="I12" s="451">
        <f>IF(ISNUMBER(IF(J_V="SI",Datos!L12,Datos!L12+Datos!AB12)),IF(J_V="SI",Datos!L12,Datos!L12+Datos!AB12)," - ")</f>
        <v>4550</v>
      </c>
      <c r="J12" s="452">
        <f>IF(ISNUMBER(I12/B12),I12/B12," - ")</f>
        <v>568.75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3496</v>
      </c>
      <c r="D14" s="1147" t="str">
        <f>IF(ISNUMBER(C14/Datos!BI14),C14/Datos!BI14," - ")</f>
        <v xml:space="preserve"> - </v>
      </c>
      <c r="E14" s="1146">
        <f>SUBTOTAL(9,E8:E13)</f>
        <v>8712</v>
      </c>
      <c r="F14" s="1147">
        <f>IF(ISNUMBER(E14/B14),E14/B14," - ")</f>
        <v>968</v>
      </c>
      <c r="G14" s="1146">
        <f>SUBTOTAL(9,G8:G13)</f>
        <v>8300</v>
      </c>
      <c r="H14" s="1147">
        <f>IF(ISNUMBER(G14/B14),G14/B14," - ")</f>
        <v>922.22222222222217</v>
      </c>
      <c r="I14" s="1146">
        <f>SUBTOTAL(9,I8:I13)</f>
        <v>4594</v>
      </c>
      <c r="J14" s="1147">
        <f>IF(ISNUMBER(I14/B14),I14/B14," - ")</f>
        <v>510.44444444444446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1342</v>
      </c>
      <c r="D17" s="452">
        <f>IF(ISNUMBER(C17/Datos!BH17),C17/Datos!BH17," - ")</f>
        <v>167.75</v>
      </c>
      <c r="E17" s="451">
        <f>IF(ISNUMBER(IF(D_I="SI",Datos!J17,Datos!J17+Datos!AD17)),IF(D_I="SI",Datos!J17,Datos!J17+Datos!AD17)," - ")</f>
        <v>6621</v>
      </c>
      <c r="F17" s="452">
        <f>IF(ISNUMBER(E17/B17),E17/B17," - ")</f>
        <v>827.625</v>
      </c>
      <c r="G17" s="451">
        <f>IF(ISNUMBER(IF(D_I="SI",Datos!K17,Datos!K17+Datos!AE17)),IF(D_I="SI",Datos!K17,Datos!K17+Datos!AE17)," - ")</f>
        <v>6837</v>
      </c>
      <c r="H17" s="452">
        <f>IF(ISNUMBER(G17/B17),G17/B17," - ")</f>
        <v>854.625</v>
      </c>
      <c r="I17" s="451">
        <f>IF(ISNUMBER(IF(D_I="SI",Datos!L17,Datos!L17+Datos!AF17)),IF(D_I="SI",Datos!L17,Datos!L17+Datos!AF17)," - ")</f>
        <v>1345</v>
      </c>
      <c r="J17" s="452">
        <f>IF(ISNUMBER(I17/B17),I17/B17," - ")</f>
        <v>168.125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945</v>
      </c>
      <c r="F18" s="452">
        <f>IF(ISNUMBER(E18/B18),E18/B18," - ")</f>
        <v>945</v>
      </c>
      <c r="G18" s="451">
        <f>IF(ISNUMBER(IF(D_I="SI",Datos!K18,Datos!K18+Datos!AE18)),IF(D_I="SI",Datos!K18,Datos!K18+Datos!AE18)," - ")</f>
        <v>967</v>
      </c>
      <c r="H18" s="452">
        <f>IF(ISNUMBER(G18/B18),G18/B18," - ")</f>
        <v>967</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1440</v>
      </c>
      <c r="D23" s="1147" t="str">
        <f>IF(ISNUMBER(C23/Datos!BI23),C23/Datos!BI23," - ")</f>
        <v xml:space="preserve"> - </v>
      </c>
      <c r="E23" s="1146">
        <f>SUBTOTAL(9,E15:E22)</f>
        <v>7566</v>
      </c>
      <c r="F23" s="1147">
        <f>IF(ISNUMBER(E23/B23),E23/B23," - ")</f>
        <v>840.66666666666663</v>
      </c>
      <c r="G23" s="1146">
        <f>SUBTOTAL(9,G15:G22)</f>
        <v>7804</v>
      </c>
      <c r="H23" s="1147">
        <f>IF(ISNUMBER(G23/B23),G23/B23," - ")</f>
        <v>867.11111111111109</v>
      </c>
      <c r="I23" s="1146">
        <f>SUBTOTAL(9,I15:I22)</f>
        <v>1424</v>
      </c>
      <c r="J23" s="1147">
        <f>IF(ISNUMBER(I23/B23),I23/B23," - ")</f>
        <v>158.22222222222223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4936</v>
      </c>
      <c r="D31" s="1085" t="str">
        <f>IF(ISNUMBER(C31/Datos!BI31),C31/Datos!BI31," - ")</f>
        <v xml:space="preserve"> - </v>
      </c>
      <c r="E31" s="1084">
        <f>SUBTOTAL(9,E9:E30)</f>
        <v>16278</v>
      </c>
      <c r="F31" s="1085">
        <f>IF(ISNUMBER(E31/B31),E31/B31," - ")</f>
        <v>1808.6666666666667</v>
      </c>
      <c r="G31" s="1084">
        <f>SUBTOTAL(9,G9:G30)</f>
        <v>16104</v>
      </c>
      <c r="H31" s="1085">
        <f>IF(ISNUMBER(G31/B31),G31/B31," - ")</f>
        <v>1789.3333333333333</v>
      </c>
      <c r="I31" s="1084">
        <f>SUBTOTAL(9,I9:I30)</f>
        <v>6018</v>
      </c>
      <c r="J31" s="1085">
        <f>IF(ISNUMBER(I31/B31),I31/B31," - ")</f>
        <v>668.66666666666663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6/1zvqwkxu5ZifU2wXH0UR7gw7JViOvm9ebRy2SGoKfksq9aswl2DNz1qZkzyyqfV1K27dT8gvfPWSMuperFlg==" saltValue="1ddZBiHD8xOSaR6Gjg4O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COLLADO VILLALBA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108</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61</v>
      </c>
      <c r="AN10" s="914">
        <f>IF(ISNUMBER(Datos!BW10+DatosP!BW18),Datos!BW10+DatosP!BW18," - ")</f>
        <v>0</v>
      </c>
      <c r="AO10" s="915">
        <f>IF(ISNUMBER(Datos!BX10+DatosP!BX18),Datos!BX10+DatosP!BX18," - ")</f>
        <v>0</v>
      </c>
      <c r="AP10" s="917">
        <f>IF(ISNUMBER(((Datos!L10/Datos!K10)*11)/factor_trimestre),((Datos!L10/Datos!K10)*11)/factor_trimestre," - ")</f>
        <v>4.481481481481481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1392</v>
      </c>
      <c r="AM12" s="914">
        <f>IF(ISNUMBER(Datos!N12+DatosP!N17),Datos!N12+DatosP!N17," - ")</f>
        <v>4998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6.109619140625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1.1273957158962795E-3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1278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108</v>
      </c>
      <c r="AC14" s="1257">
        <f t="shared" si="1"/>
        <v>0</v>
      </c>
      <c r="AD14" s="1257">
        <f t="shared" si="1"/>
        <v>1252</v>
      </c>
      <c r="AE14" s="1257">
        <f t="shared" si="1"/>
        <v>0</v>
      </c>
      <c r="AF14" s="1257">
        <f t="shared" si="1"/>
        <v>44</v>
      </c>
      <c r="AG14" s="1257">
        <f t="shared" si="1"/>
        <v>0</v>
      </c>
      <c r="AH14" s="1257">
        <f t="shared" si="1"/>
        <v>6216</v>
      </c>
      <c r="AI14" s="1257">
        <f t="shared" si="1"/>
        <v>0</v>
      </c>
      <c r="AJ14" s="1257">
        <f t="shared" si="1"/>
        <v>0</v>
      </c>
      <c r="AK14" s="1257">
        <f t="shared" si="1"/>
        <v>0</v>
      </c>
      <c r="AL14" s="1257">
        <f t="shared" si="1"/>
        <v>1419</v>
      </c>
      <c r="AM14" s="1257">
        <f t="shared" si="1"/>
        <v>5059</v>
      </c>
      <c r="AN14" s="1257">
        <f t="shared" si="1"/>
        <v>0</v>
      </c>
      <c r="AO14" s="1257">
        <f t="shared" si="1"/>
        <v>0</v>
      </c>
      <c r="AP14" s="1262">
        <f>IF(ISNUMBER(((Datos!L14/Datos!K14)*11)/factor_trimestre),((Datos!L14/Datos!K14)*11)/factor_trimestre," - ")</f>
        <v>6.7065098468271334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-4.1538461538461542</v>
      </c>
      <c r="AU14" s="1257" t="str">
        <f>IF(ISNUMBER((DatosP!#REF!-DatosP!#REF!+DatosP!#REF!)/(DatosP!#REF!+DatosP!#REF!-DatosP!#REF!-DatosP!#REF!)),(DatosP!#REF!-DatosP!#REF!+DatosP!#REF!)/(DatosP!#REF!+DatosP!#REF!-DatosP!#REF!-DatosP!#REF!)," - ")</f>
        <v xml:space="preserve"> - </v>
      </c>
      <c r="AV14" s="1263">
        <f>SUBTOTAL(9,AV9:AV13)</f>
        <v>1.1273957158962795E-3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2.0071758072783186</v>
      </c>
      <c r="AQ23" s="1262">
        <f>IF(ISNUMBER(((Datos!M23/Datos!L23)*11)/factor_trimestre),((Datos!M23/Datos!L23)*11)/factor_trimestre," - ")</f>
        <v>7.3153089887640448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2.8391167192429023E-2</v>
      </c>
      <c r="AW23" s="1265">
        <f>IF(ISNUMBER((Datos!Q23-Datos!R23)/(Datos!S23-Datos!Q23+Datos!R23)),(Datos!Q23-Datos!R23)/(Datos!S23-Datos!Q23+Datos!R23)," - ")</f>
        <v>-3.2339885859226376E-2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1278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108</v>
      </c>
      <c r="AC31" s="1284">
        <f t="shared" si="9"/>
        <v>0</v>
      </c>
      <c r="AD31" s="1284">
        <f t="shared" si="9"/>
        <v>1252</v>
      </c>
      <c r="AE31" s="1284">
        <f t="shared" si="9"/>
        <v>0</v>
      </c>
      <c r="AF31" s="1285">
        <f t="shared" si="9"/>
        <v>44</v>
      </c>
      <c r="AG31" s="1285">
        <f t="shared" si="9"/>
        <v>0</v>
      </c>
      <c r="AH31" s="1285">
        <f t="shared" si="9"/>
        <v>6216</v>
      </c>
      <c r="AI31" s="1285">
        <f t="shared" si="9"/>
        <v>0</v>
      </c>
      <c r="AJ31" s="1286">
        <f t="shared" si="9"/>
        <v>0</v>
      </c>
      <c r="AK31" s="1286">
        <f t="shared" si="9"/>
        <v>0</v>
      </c>
      <c r="AL31" s="1278">
        <f t="shared" si="9"/>
        <v>1419</v>
      </c>
      <c r="AM31" s="1278">
        <f t="shared" si="9"/>
        <v>5059</v>
      </c>
      <c r="AN31" s="1278">
        <f t="shared" si="9"/>
        <v>0</v>
      </c>
      <c r="AO31" s="1278">
        <f t="shared" si="9"/>
        <v>0</v>
      </c>
      <c r="AP31" s="1278">
        <f>IF(ISNUMBER(((Datos!L31/Datos!K31)*11)/factor_trimestre),((Datos!L31/Datos!K31)*11)/factor_trimestre," - ")</f>
        <v>4.2803651759724799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-4.1538461538461542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7.595321282090232E-4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59.15403621055794</v>
      </c>
      <c r="AC33" s="1008">
        <f>IF(ISNUMBER(STDEV(AC8:AC30)),STDEV(AC8:AC30),"-")</f>
        <v>0</v>
      </c>
      <c r="AD33" s="1011"/>
      <c r="AE33" s="1011"/>
      <c r="AF33" s="1011"/>
      <c r="AG33" s="1011"/>
      <c r="AH33" s="1011"/>
      <c r="AI33" s="1011"/>
      <c r="AJ33" s="1012">
        <f>IF(ISNUMBER(STDEV(AJ8:AJ30)),STDEV(AJ8:AJ30),"-")</f>
        <v>0</v>
      </c>
      <c r="AK33" s="1014"/>
      <c r="AL33" s="1006">
        <f>IF(ISNUMBER(STDEV(AL8:AL30)),STDEV(AL8:AL30),"-")</f>
        <v>722.43754055281488</v>
      </c>
      <c r="AM33" s="1006"/>
      <c r="AN33" s="1006">
        <f>IF(ISNUMBER(STDEV(AN8:AN30)),STDEV(AN8:AN30),"-")</f>
        <v>0</v>
      </c>
      <c r="AO33" s="1012">
        <f>IF(ISNUMBER(STDEV(AO8:AO30)),STDEV(AO8:AO30),"-")</f>
        <v>0</v>
      </c>
      <c r="AP33" s="1065">
        <f>IF(ISNUMBER(STDEV(AP8:AP30)),STDEV(AP8:AP30),"-")</f>
        <v>2.1014644153312356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ZSYQ/KUXfrlGPV9HfZAiBQeLwNZlHMmzsrlqR4VwaTyowx/u4UUvUPncXhvF0J7MZvCCww/eLSjXCWK0s2Mc0A==" saltValue="FkkybvfI+2r611deoeV7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COLLADO VILLALBA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KPAPDjYT23Rs3XtmndSKwc9DdtXQUr3KZlUTzbahnjobTL30CXMcN4AxG4jwYJeDWitg8PpUjWY3CmEbFcZHA==" saltValue="qMEaj7IuzJBf+gUXeRAT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COLLADO VILLALBA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27</v>
      </c>
      <c r="E10" s="452">
        <f>IF(ISNUMBER(D10/B10),D10/B10," - ")</f>
        <v>27</v>
      </c>
      <c r="F10" s="451">
        <f>IF(ISNUMBER(Datos!N10),Datos!N10," - ")</f>
        <v>61</v>
      </c>
      <c r="G10" s="452">
        <f>IF(ISNUMBER(F10/B10),F10/B10," - ")</f>
        <v>61</v>
      </c>
      <c r="H10" s="451">
        <f>IF(ISNUMBER(Datos!O10),Datos!O10," - ")</f>
        <v>32</v>
      </c>
      <c r="I10" s="452">
        <f t="shared" ref="I10:I13" si="2">IF(ISNUMBER(H10/B10),H10/B10," - ")</f>
        <v>32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1392</v>
      </c>
      <c r="E12" s="452">
        <f t="shared" si="0"/>
        <v>174</v>
      </c>
      <c r="F12" s="451">
        <f>IF(ISNUMBER(Datos!N12),Datos!N12," - ")</f>
        <v>4998</v>
      </c>
      <c r="G12" s="452">
        <f t="shared" si="1"/>
        <v>624.75</v>
      </c>
      <c r="H12" s="451">
        <f>IF(ISNUMBER(Datos!O12),Datos!O12," - ")</f>
        <v>2526</v>
      </c>
      <c r="I12" s="452">
        <f t="shared" si="2"/>
        <v>315.75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1419</v>
      </c>
      <c r="E14" s="1147">
        <f t="shared" si="0"/>
        <v>157.66666666666666</v>
      </c>
      <c r="F14" s="1146">
        <f>SUBTOTAL(9,F9:F13)</f>
        <v>5059</v>
      </c>
      <c r="G14" s="1147">
        <f t="shared" si="1"/>
        <v>562.11111111111109</v>
      </c>
      <c r="H14" s="1146">
        <f>SUBTOTAL(9,H9:H13)</f>
        <v>2558</v>
      </c>
      <c r="I14" s="1147">
        <f>IF(ISNUMBER(H14/B14),H14/B14," - ")</f>
        <v>284.22222222222223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829</v>
      </c>
      <c r="E17" s="452">
        <f t="shared" si="3"/>
        <v>103.625</v>
      </c>
      <c r="F17" s="451">
        <f>IF(ISNUMBER(Datos!N17),Datos!N17," - ")</f>
        <v>4292</v>
      </c>
      <c r="G17" s="452">
        <f t="shared" si="4"/>
        <v>536.5</v>
      </c>
      <c r="H17" s="451">
        <f>IF(ISNUMBER(Datos!O17),Datos!O17," - ")</f>
        <v>77</v>
      </c>
      <c r="I17" s="452">
        <f t="shared" si="5"/>
        <v>9.625</v>
      </c>
    </row>
    <row r="18" spans="1:9">
      <c r="A18" s="450" t="str">
        <f>Datos!A18</f>
        <v>Jdos. Violencia contra la mujer</v>
      </c>
      <c r="B18" s="480">
        <f>Datos!AO18</f>
        <v>1</v>
      </c>
      <c r="C18" s="481">
        <f>Datos!AQ18</f>
        <v>1</v>
      </c>
      <c r="D18" s="451">
        <f>IF(ISNUMBER(Datos!M18),Datos!M18," - ")</f>
        <v>118</v>
      </c>
      <c r="E18" s="452">
        <f>IF(ISNUMBER(D18/B18),D18/B18," - ")</f>
        <v>118</v>
      </c>
      <c r="F18" s="451">
        <f>IF(ISNUMBER(Datos!N18),Datos!N18," - ")</f>
        <v>459</v>
      </c>
      <c r="G18" s="452">
        <f>IF(ISNUMBER(F18/B18),F18/B18," - ")</f>
        <v>459</v>
      </c>
      <c r="H18" s="451">
        <f>IF(ISNUMBER(Datos!O18),Datos!O18," - ")</f>
        <v>35</v>
      </c>
      <c r="I18" s="452">
        <f t="shared" si="5"/>
        <v>35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947</v>
      </c>
      <c r="E23" s="1147">
        <f t="shared" si="3"/>
        <v>105.22222222222223</v>
      </c>
      <c r="F23" s="1146">
        <f>SUBTOTAL(9,F16:F22)</f>
        <v>4751</v>
      </c>
      <c r="G23" s="1147">
        <f t="shared" si="4"/>
        <v>527.88888888888891</v>
      </c>
      <c r="H23" s="1146">
        <f>SUBTOTAL(9,H16:H22)</f>
        <v>112</v>
      </c>
      <c r="I23" s="1147">
        <f>IF(ISNUMBER(H23/B23),H23/B23," - ")</f>
        <v>12.444444444444445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2366</v>
      </c>
      <c r="E31" s="1085">
        <f>IF(ISNUMBER(D31/B31),D31/B31," - ")</f>
        <v>262.88888888888891</v>
      </c>
      <c r="F31" s="1084">
        <f>SUBTOTAL(9,F8:F30)</f>
        <v>9810</v>
      </c>
      <c r="G31" s="1085">
        <f>IF(ISNUMBER(F31/B31),F31/B31," - ")</f>
        <v>1090</v>
      </c>
      <c r="H31" s="1084">
        <f>SUBTOTAL(9,H8:H30)</f>
        <v>2670</v>
      </c>
      <c r="I31" s="1085">
        <f>IF(ISNUMBER(H31/B31),H31/B31," - ")</f>
        <v>296.66666666666669</v>
      </c>
    </row>
    <row r="34" spans="1:1">
      <c r="A34" s="439" t="str">
        <f>Criterios!A4</f>
        <v>Fecha Informe: 15 abr. 2023</v>
      </c>
    </row>
    <row r="39" spans="1:1">
      <c r="A39" s="462"/>
    </row>
  </sheetData>
  <sheetProtection algorithmName="SHA-512" hashValue="hfEiTDJnyZkThFN+tDpj15x11S9kQ6V8dtMGiFniYcVLCIdWvb0EOs82oDxOvzEWuN6tIh8E3gsFexrZCM8QFw==" saltValue="4ujJQ1IkWFnelAJFwX2Z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COLLADO VILLALBA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19</v>
      </c>
      <c r="C10" s="489">
        <f>IF(ISNUMBER(Datos!Q10),Datos!Q10," - ")</f>
        <v>30</v>
      </c>
      <c r="D10" s="456">
        <f>IF(ISNUMBER(Datos!R10),Datos!R10," - ")</f>
        <v>46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1259</v>
      </c>
      <c r="C12" s="489">
        <f>IF(ISNUMBER(Datos!Q12),Datos!Q12," - ")</f>
        <v>1252</v>
      </c>
      <c r="D12" s="456">
        <f>IF(ISNUMBER(Datos!R12),Datos!R12," - ")</f>
        <v>6216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1278</v>
      </c>
      <c r="C14" s="1150">
        <f>SUBTOTAL(9,C9:C13)</f>
        <v>1282</v>
      </c>
      <c r="D14" s="1148">
        <f>SUBTOTAL(9,D9:D13)</f>
        <v>6262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252</v>
      </c>
      <c r="C17" s="489">
        <f>IF(ISNUMBER(Datos!Q17),Datos!Q17," - ")</f>
        <v>241</v>
      </c>
      <c r="D17" s="456">
        <f>IF(ISNUMBER(Datos!R17),Datos!R17," - ")</f>
        <v>313</v>
      </c>
    </row>
    <row r="18" spans="1:4">
      <c r="A18" s="450" t="str">
        <f>Datos!A18</f>
        <v>Jdos. Violencia contra la mujer</v>
      </c>
      <c r="B18" s="488">
        <f>IF(ISNUMBER(Datos!P18),Datos!P18," - ")</f>
        <v>32</v>
      </c>
      <c r="C18" s="489">
        <f>IF(ISNUMBER(Datos!Q18),Datos!Q18," - ")</f>
        <v>34</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284</v>
      </c>
      <c r="C23" s="1150">
        <f>SUBTOTAL(9,C16:C22)</f>
        <v>275</v>
      </c>
      <c r="D23" s="1148">
        <f>SUBTOTAL(9,D16:D22)</f>
        <v>326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1562</v>
      </c>
      <c r="C31" s="1089">
        <f>SUBTOTAL(9,C8:C30)</f>
        <v>1557</v>
      </c>
      <c r="D31" s="1090">
        <f>SUBTOTAL(9,D8:D30)</f>
        <v>6588</v>
      </c>
    </row>
    <row r="32" spans="1:4" ht="7.5" customHeight="1"/>
    <row r="33" spans="1:1" ht="6" customHeight="1"/>
    <row r="34" spans="1:1">
      <c r="A34" s="439" t="str">
        <f>Criterios!A4</f>
        <v>Fecha Informe: 15 abr. 2023</v>
      </c>
    </row>
    <row r="39" spans="1:1">
      <c r="A39" s="462"/>
    </row>
  </sheetData>
  <sheetProtection algorithmName="SHA-512" hashValue="hcvrjhOehJQ/pv1RhVZPrVJ0/EeB6l9on4mIuunuu1KfaOMV3QjxRYQcyl7CPCVvF5DfTFZt2kE8G8MNMnAW6Q==" saltValue="Y8FV/83/rNJKASN0mjpD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COLLADO VILLALBA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0.57499999999999996</v>
      </c>
      <c r="D10" s="515">
        <f>IF(ISNUMBER((Datos!K10-Datos!U10)/Datos!U10),(Datos!K10-Datos!U10)/Datos!U10," - ")</f>
        <v>0.17391304347826086</v>
      </c>
      <c r="E10" s="515">
        <f>IF(ISNUMBER((Datos!L10-Datos!V10)/Datos!V10),(Datos!L10-Datos!V10)/Datos!V10," - ")</f>
        <v>0.69230769230769229</v>
      </c>
      <c r="F10" s="515">
        <f>IF(ISNUMBER((Datos!M10-Datos!W10)/Datos!W10),(Datos!M10-Datos!W10)/Datos!W10," - ")</f>
        <v>3.8461538461538464E-2</v>
      </c>
      <c r="G10" s="516">
        <f>IF(ISNUMBER((Datos!N10-Datos!X10)/Datos!X10),(Datos!N10-Datos!X10)/Datos!X10," - ")</f>
        <v>0.27083333333333331</v>
      </c>
      <c r="H10" s="514">
        <f>IF(ISNUMBER(((NºAsuntos!G10/NºAsuntos!E10)-Datos!BD10)/Datos!BD10),((NºAsuntos!G10/NºAsuntos!E10)-Datos!BD10)/Datos!BD10," - ")</f>
        <v>-0.25465838509316768</v>
      </c>
      <c r="I10" s="515">
        <f>IF(ISNUMBER(((NºAsuntos!I10/NºAsuntos!G10)-Datos!BE10)/Datos!BE10),((NºAsuntos!I10/NºAsuntos!G10)-Datos!BE10)/Datos!BE10," - ")</f>
        <v>0.44159544159544162</v>
      </c>
      <c r="J10" s="521">
        <f>IF(ISNUMBER((('Resol  Asuntos'!D10/NºAsuntos!G10)-Datos!BF10)/Datos!BF10),(('Resol  Asuntos'!D10/NºAsuntos!G10)-Datos!BF10)/Datos!BF10," - ")</f>
        <v>-0.11538461538461532</v>
      </c>
      <c r="K10" s="522">
        <f>IF(ISNUMBER((((NºAsuntos!C10+NºAsuntos!E10)/NºAsuntos!G10)-Datos!BG10)/Datos!BG10),(((NºAsuntos!C10+NºAsuntos!E10)/NºAsuntos!G10)-Datos!BG10)/Datos!BG10," - ")</f>
        <v>9.730069052102959E-2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6.5724815724815727E-2</v>
      </c>
      <c r="C12" s="515">
        <f>IF(ISNUMBER(
   IF(J_V="SI",(Datos!J12-Datos!T12)/Datos!T12,(Datos!J12+Datos!Z12-(Datos!T12+Datos!AH12))/(Datos!T12+Datos!AH12))
     ),IF(J_V="SI",(Datos!J12-Datos!T12)/Datos!T12,(Datos!J12+Datos!Z12-(Datos!T12+Datos!AH12))/(Datos!T12+Datos!AH12))," - ")</f>
        <v>-2.1203830369357045E-2</v>
      </c>
      <c r="D12" s="515">
        <f>IF(ISNUMBER(
   IF(J_V="SI",(Datos!K12-Datos!U12)/Datos!U12,(Datos!K12+Datos!AA12-(Datos!U12+Datos!AI12))/(Datos!U12+Datos!AI12))
     ),IF(J_V="SI",(Datos!K12-Datos!U12)/Datos!U12,(Datos!K12+Datos!AA12-(Datos!U12+Datos!AI12))/(Datos!U12+Datos!AI12))," - ")</f>
        <v>-1.8687110685194058E-2</v>
      </c>
      <c r="E12" s="515">
        <f>IF(ISNUMBER(
   IF(J_V="SI",(Datos!L12-Datos!V12)/Datos!V12,(Datos!L12+Datos!AB12-(Datos!V12+Datos!AJ12))/(Datos!V12+Datos!AJ12))
     ),IF(J_V="SI",(Datos!L12-Datos!V12)/Datos!V12,(Datos!L12+Datos!AB12-(Datos!V12+Datos!AJ12))/(Datos!V12+Datos!AJ12))," - ")</f>
        <v>0.31123919308357351</v>
      </c>
      <c r="F12" s="515">
        <f>IF(ISNUMBER((Datos!M12-Datos!W12)/Datos!W12),(Datos!M12-Datos!W12)/Datos!W12," - ")</f>
        <v>9.4271211022480053E-3</v>
      </c>
      <c r="G12" s="516">
        <f>IF(ISNUMBER((Datos!N12-Datos!X12)/Datos!X12),(Datos!N12-Datos!X12)/Datos!X12," - ")</f>
        <v>6.8493150684931503E-3</v>
      </c>
      <c r="H12" s="514">
        <f>IF(ISNUMBER(((NºAsuntos!G12/NºAsuntos!E12)-Datos!BD12)/Datos!BD12),((NºAsuntos!G12/NºAsuntos!E12)-Datos!BD12)/Datos!BD12," - ")</f>
        <v>2.5712398170834156E-3</v>
      </c>
      <c r="I12" s="515">
        <f>IF(ISNUMBER(((NºAsuntos!I12/NºAsuntos!G12)-Datos!BE12)/Datos!BE12),((NºAsuntos!I12/NºAsuntos!G12)-Datos!BE12)/Datos!BE12," - ")</f>
        <v>0.33620908006123928</v>
      </c>
      <c r="J12" s="521">
        <f>IF(ISNUMBER((('Resol  Asuntos'!D12/NºAsuntos!G12)-Datos!BF12)/Datos!BF12),(('Resol  Asuntos'!D12/NºAsuntos!G12)-Datos!BF12)/Datos!BF12," - ")</f>
        <v>-0.71424097250201457</v>
      </c>
      <c r="K12" s="522">
        <f>IF(ISNUMBER((((NºAsuntos!C12+NºAsuntos!E12)/NºAsuntos!G12)-Datos!BG12)/Datos!BG12),(((NºAsuntos!C12+NºAsuntos!E12)/NºAsuntos!G12)-Datos!BG12)/Datos!BG12," - ")</f>
        <v>2.1415200469737324E-2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6.1323618700667881E-2</v>
      </c>
      <c r="C14" s="1152">
        <f>IF(ISNUMBER(
   IF(J_V="SI",(Datos!J14-Datos!T14)/Datos!T14,(Datos!J14+Datos!Z14-(Datos!T14+Datos!AH14))/(Datos!T14+Datos!AH14))
     ),IF(J_V="SI",(Datos!J14-Datos!T14)/Datos!T14,(Datos!J14+Datos!Z14-(Datos!T14+Datos!AH14))/(Datos!T14+Datos!AH14))," - ")</f>
        <v>-1.5815634884771803E-2</v>
      </c>
      <c r="D14" s="1152">
        <f>IF(ISNUMBER(
   IF(J_V="SI",(Datos!K14-Datos!U14)/Datos!U14,(Datos!K14+Datos!AA14-(Datos!U14+Datos!AI14))/(Datos!U14+Datos!AI14))
     ),IF(J_V="SI",(Datos!K14-Datos!U14)/Datos!U14,(Datos!K14+Datos!AA14-(Datos!U14+Datos!AI14))/(Datos!U14+Datos!AI14))," - ")</f>
        <v>-1.6587677725118485E-2</v>
      </c>
      <c r="E14" s="1152">
        <f>IF(ISNUMBER(
   IF(J_V="SI",(Datos!L14-Datos!V14)/Datos!V14,(Datos!L14+Datos!AB14-(Datos!V14+Datos!AJ14))/(Datos!V14+Datos!AJ14))
     ),IF(J_V="SI",(Datos!L14-Datos!V14)/Datos!V14,(Datos!L14+Datos!AB14-(Datos!V14+Datos!AJ14))/(Datos!V14+Datos!AJ14))," - ")</f>
        <v>0.31407322654462244</v>
      </c>
      <c r="F14" s="1153">
        <f>IF(ISNUMBER((Datos!M14-Datos!W14)/Datos!W14),(Datos!M14-Datos!W14)/Datos!W14," - ")</f>
        <v>9.9644128113879002E-3</v>
      </c>
      <c r="G14" s="1154">
        <f>IF(ISNUMBER((Datos!N14-Datos!X14)/Datos!X14),(Datos!N14-Datos!X14)/Datos!X14," - ")</f>
        <v>9.3774940143655228E-3</v>
      </c>
      <c r="H14" s="1154">
        <f>IF(ISNUMBER(((NºAsuntos!G14/NºAsuntos!E14)-Datos!BD14)/Datos!BD14),((NºAsuntos!G14/NºAsuntos!E14)-Datos!BD14)/Datos!BD14," - ")</f>
        <v>-7.8444940573340152E-4</v>
      </c>
      <c r="I14" s="1154">
        <f>IF(ISNUMBER(((NºAsuntos!I14/NºAsuntos!G14)-Datos!BE14)/Datos!BE14),((NºAsuntos!I14/NºAsuntos!G14)-Datos!BE14)/Datos!BE14," - ")</f>
        <v>0.33623831711284502</v>
      </c>
      <c r="J14" s="1154">
        <f>IF(ISNUMBER((('Resol  Asuntos'!D14/NºAsuntos!G14)-Datos!BF14)/Datos!BF14),(('Resol  Asuntos'!D14/NºAsuntos!G14)-Datos!BF14)/Datos!BF14," - ")</f>
        <v>-0.7108346814110148</v>
      </c>
      <c r="K14" s="1154">
        <f>IF(ISNUMBER((((NºAsuntos!C14+NºAsuntos!E14)/NºAsuntos!G14)-Datos!BG14)/Datos!BG14),(((NºAsuntos!C14+NºAsuntos!E14)/NºAsuntos!G14)-Datos!BG14)/Datos!BG14," - ")</f>
        <v>2.2058132083744214E-2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-7.1280276816608992E-2</v>
      </c>
      <c r="C17" s="515">
        <f>IF(ISNUMBER(
   IF(D_I="SI",(Datos!J17-Datos!T17)/Datos!T17,(Datos!J17+Datos!AD17-(Datos!T17+Datos!AL17))/(Datos!T17+Datos!AL17))
     ),IF(D_I="SI",(Datos!J17-Datos!T17)/Datos!T17,(Datos!J17+Datos!AD17-(Datos!T17+Datos!AL17))/(Datos!T17+Datos!AL17))," - ")</f>
        <v>4.9952426260704091E-2</v>
      </c>
      <c r="D17" s="515">
        <f>IF(ISNUMBER(
   IF(D_I="SI",(Datos!K17-Datos!U17)/Datos!U17,(Datos!K17+Datos!AE17-(Datos!U17+Datos!AM17))/(Datos!U17+Datos!AM17))
     ),IF(D_I="SI",(Datos!K17-Datos!U17)/Datos!U17,(Datos!K17+Datos!AE17-(Datos!U17+Datos!AM17))/(Datos!U17+Datos!AM17))," - ")</f>
        <v>5.4604349838037948E-2</v>
      </c>
      <c r="E17" s="515">
        <f>IF(ISNUMBER(
   IF(D_I="SI",(Datos!L17-Datos!V17)/Datos!V17,(Datos!L17+Datos!AF17-(Datos!V17+Datos!AN17))/(Datos!V17+Datos!AN17))
     ),IF(D_I="SI",(Datos!L17-Datos!V17)/Datos!V17,(Datos!L17+Datos!AF17-(Datos!V17+Datos!AN17))/(Datos!V17+Datos!AN17))," - ")</f>
        <v>2.2354694485842027E-3</v>
      </c>
      <c r="F17" s="515">
        <f>IF(ISNUMBER((Datos!M17-Datos!W17)/Datos!W17),(Datos!M17-Datos!W17)/Datos!W17," - ")</f>
        <v>-6.538895152198422E-2</v>
      </c>
      <c r="G17" s="516">
        <f>IF(ISNUMBER((Datos!N17-Datos!X17)/Datos!X17),(Datos!N17-Datos!X17)/Datos!X17," - ")</f>
        <v>7.6768690416457605E-2</v>
      </c>
      <c r="H17" s="514">
        <f>IF(ISNUMBER(((NºAsuntos!G17/NºAsuntos!E17)-Datos!BD17)/Datos!BD17),((NºAsuntos!G17/NºAsuntos!E17)-Datos!BD17)/Datos!BD17," - ")</f>
        <v>4.4306041502292599E-3</v>
      </c>
      <c r="I17" s="515">
        <f>IF(ISNUMBER(((NºAsuntos!I17/NºAsuntos!G17)-Datos!BE17)/Datos!BE17),((NºAsuntos!I17/NºAsuntos!G17)-Datos!BE17)/Datos!BE17," - ")</f>
        <v>-4.9657371883110722E-2</v>
      </c>
      <c r="J17" s="521">
        <f>IF(ISNUMBER((('Resol  Asuntos'!D17/NºAsuntos!G17)-Datos!BF17)/Datos!BF17),(('Resol  Asuntos'!D17/NºAsuntos!G17)-Datos!BF17)/Datos!BF17," - ")</f>
        <v>-0.1137803967700781</v>
      </c>
      <c r="K17" s="522">
        <f>IF(ISNUMBER((((NºAsuntos!C17+NºAsuntos!E17)/NºAsuntos!G17)-Datos!BG17)/Datos!BG17),(((NºAsuntos!C17+NºAsuntos!E17)/NºAsuntos!G17)-Datos!BG17)/Datos!BG17," - ")</f>
        <v>-2.5841957065484204E-2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0.20987654320987653</v>
      </c>
      <c r="C18" s="515">
        <f>IF(ISNUMBER(
   IF(D_I="SI",(Datos!J18-Datos!T18)/Datos!T18,(Datos!J18+Datos!AD18-(Datos!T18+Datos!AL18))/(Datos!T18+Datos!AL18))
     ),IF(D_I="SI",(Datos!J18-Datos!T18)/Datos!T18,(Datos!J18+Datos!AD18-(Datos!T18+Datos!AL18))/(Datos!T18+Datos!AL18))," - ")</f>
        <v>0.20076238881829733</v>
      </c>
      <c r="D18" s="515">
        <f>IF(ISNUMBER(
   IF(D_I="SI",(Datos!K18-Datos!U18)/Datos!U18,(Datos!K18+Datos!AE18-(Datos!U18+Datos!AM18))/(Datos!U18+Datos!AM18))
     ),IF(D_I="SI",(Datos!K18-Datos!U18)/Datos!U18,(Datos!K18+Datos!AE18-(Datos!U18+Datos!AM18))/(Datos!U18+Datos!AM18))," - ")</f>
        <v>0.24453024453024452</v>
      </c>
      <c r="E18" s="515">
        <f>IF(ISNUMBER(
   IF(D_I="SI",(Datos!L18-Datos!V18)/Datos!V18,(Datos!L18+Datos!AF18-(Datos!V18+Datos!AN18))/(Datos!V18+Datos!AN18))
     ),IF(D_I="SI",(Datos!L18-Datos!V18)/Datos!V18,(Datos!L18+Datos!AF18-(Datos!V18+Datos!AN18))/(Datos!V18+Datos!AN18))," - ")</f>
        <v>-0.19387755102040816</v>
      </c>
      <c r="F18" s="515">
        <f>IF(ISNUMBER((Datos!M18-Datos!W18)/Datos!W18),(Datos!M18-Datos!W18)/Datos!W18," - ")</f>
        <v>0.61643835616438358</v>
      </c>
      <c r="G18" s="516">
        <f>IF(ISNUMBER((Datos!N18-Datos!X18)/Datos!X18),(Datos!N18-Datos!X18)/Datos!X18," - ")</f>
        <v>0.11678832116788321</v>
      </c>
      <c r="H18" s="514">
        <f>IF(ISNUMBER(((NºAsuntos!G18/NºAsuntos!E18)-Datos!BD18)/Datos!BD18),((NºAsuntos!G18/NºAsuntos!E18)-Datos!BD18)/Datos!BD18," - ")</f>
        <v>3.6450055497674667E-2</v>
      </c>
      <c r="I18" s="515">
        <f>IF(ISNUMBER(((NºAsuntos!I18/NºAsuntos!G18)-Datos!BE18)/Datos!BE18),((NºAsuntos!I18/NºAsuntos!G18)-Datos!BE18)/Datos!BE18," - ")</f>
        <v>-0.35226769094400939</v>
      </c>
      <c r="J18" s="521">
        <f>IF(ISNUMBER((('Resol  Asuntos'!D18/NºAsuntos!G18)-Datos!BF18)/Datos!BF18),(('Resol  Asuntos'!D18/NºAsuntos!G18)-Datos!BF18)/Datos!BF18," - ")</f>
        <v>0.29883412899661421</v>
      </c>
      <c r="K18" s="522">
        <f>IF(ISNUMBER((((NºAsuntos!C18+NºAsuntos!E18)/NºAsuntos!G18)-Datos!BG18)/Datos!BG18),(((NºAsuntos!C18+NºAsuntos!E18)/NºAsuntos!G18)-Datos!BG18)/Datos!BG18," - ")</f>
        <v>-3.4484771658271171E-2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-5.6356487549148099E-2</v>
      </c>
      <c r="C23" s="1152">
        <f>IF(ISNUMBER(
   IF(Criterios!B14="SI",(Datos!J23-Datos!T23)/Datos!T23,(Datos!J23+Datos!AD23-(Datos!T23+Datos!AL23))/(Datos!T23+Datos!AL23))
     ),IF(Criterios!B14="SI",(Datos!J23-Datos!T23)/Datos!T23,(Datos!J23+Datos!AD23-(Datos!T23+Datos!AL23))/(Datos!T23+Datos!AL23))," - ")</f>
        <v>6.6685464542506692E-2</v>
      </c>
      <c r="D23" s="1152">
        <f>IF(ISNUMBER(
   IF(Criterios!B14="SI",(Datos!K23-Datos!U23)/Datos!U23,(Datos!K23+Datos!AE23-(Datos!U23+Datos!AM23))/(Datos!U23+Datos!AM23))
     ),IF(Criterios!B14="SI",(Datos!K23-Datos!U23)/Datos!U23,(Datos!K23+Datos!AE23-(Datos!U23+Datos!AM23))/(Datos!U23+Datos!AM23))," - ")</f>
        <v>7.4931129476584021E-2</v>
      </c>
      <c r="E23" s="1152">
        <f>IF(ISNUMBER(
   IF(Criterios!B14="SI",(Datos!L23-Datos!V23)/Datos!V23,(Datos!L23+Datos!AF23-(Datos!V23+Datos!AN23))/(Datos!V23+Datos!AN23))
     ),IF(Criterios!B14="SI",(Datos!L23-Datos!V23)/Datos!V23,(Datos!L23+Datos!AF23-(Datos!V23+Datos!AN23))/(Datos!V23+Datos!AN23))," - ")</f>
        <v>-1.1111111111111112E-2</v>
      </c>
      <c r="F23" s="1153">
        <f>IF(ISNUMBER((Datos!M23-Datos!W23)/Datos!W23),(Datos!M23-Datos!W23)/Datos!W23," - ")</f>
        <v>-1.3541666666666667E-2</v>
      </c>
      <c r="G23" s="1154">
        <f>IF(ISNUMBER((Datos!N23-Datos!X23)/Datos!X23),(Datos!N23-Datos!X23)/Datos!X23," - ")</f>
        <v>8.0509438253354562E-2</v>
      </c>
      <c r="H23" s="1154">
        <f>IF(ISNUMBER(((NºAsuntos!G23/NºAsuntos!E23)-Datos!BD23)/Datos!BD23),((NºAsuntos!G23/NºAsuntos!E23)-Datos!BD23)/Datos!BD23," - ")</f>
        <v>7.7301746467632482E-3</v>
      </c>
      <c r="I23" s="1154">
        <f>IF(ISNUMBER(((NºAsuntos!I23/NºAsuntos!G23)-Datos!BE23)/Datos!BE23),((NºAsuntos!I23/NºAsuntos!G23)-Datos!BE23)/Datos!BE23," - ")</f>
        <v>-8.0044421664103943E-2</v>
      </c>
      <c r="J23" s="1154">
        <f>IF(ISNUMBER((('Resol  Asuntos'!D23/NºAsuntos!G23)-Datos!BF23)/Datos!BF23),(('Resol  Asuntos'!D23/NºAsuntos!G23)-Datos!BF23)/Datos!BF23," - ")</f>
        <v>-8.2305548436699183E-2</v>
      </c>
      <c r="K23" s="1154">
        <f>IF(ISNUMBER((((NºAsuntos!C23+NºAsuntos!E23)/NºAsuntos!G23)-Datos!BG23)/Datos!BG23),(((NºAsuntos!C23+NºAsuntos!E23)/NºAsuntos!G23)-Datos!BG23)/Datos!BG23," - ")</f>
        <v>-2.7936979492162884E-2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2.4066390041493777E-2</v>
      </c>
      <c r="C31" s="1092">
        <f>IF(ISNUMBER(
   IF(J_V="SI",(Datos!J31-Datos!T31)/Datos!T31,(Datos!J31+Datos!Z31-(Datos!T31+Datos!AH31))/(Datos!T31+Datos!AH31))
     ),IF(J_V="SI",(Datos!J31-Datos!T31)/Datos!T31,(Datos!J31+Datos!Z31-(Datos!T31+Datos!AH31))/(Datos!T31+Datos!AH31))," - ")</f>
        <v>2.0884289746001882E-2</v>
      </c>
      <c r="D31" s="1092">
        <f>IF(ISNUMBER(
   IF(J_V="SI",(Datos!K31-Datos!U31)/Datos!U31,(Datos!K31+Datos!AA31-(Datos!U31+Datos!AI31))/(Datos!U31+Datos!AI31))
     ),IF(J_V="SI",(Datos!K31-Datos!U31)/Datos!U31,(Datos!K31+Datos!AA31-(Datos!U31+Datos!AI31))/(Datos!U31+Datos!AI31))," - ")</f>
        <v>2.573248407643312E-2</v>
      </c>
      <c r="E31" s="1092">
        <f>IF(ISNUMBER(
   IF(J_V="SI",(Datos!L31-Datos!V31)/Datos!V31,(Datos!L31+Datos!AB31-(Datos!V31+Datos!AJ31))/(Datos!V31+Datos!AJ31))
     ),IF(J_V="SI",(Datos!L31-Datos!V31)/Datos!V31,(Datos!L31+Datos!AB31-(Datos!V31+Datos!AJ31))/(Datos!V31+Datos!AJ31))," - ")</f>
        <v>0.21920583468395463</v>
      </c>
      <c r="F31" s="1093">
        <f>IF(ISNUMBER((Datos!M31-Datos!W31)/Datos!W31),(Datos!M31-Datos!W31)/Datos!W31," - ")</f>
        <v>4.2283298097251583E-4</v>
      </c>
      <c r="G31" s="1094">
        <f>IF(ISNUMBER((Datos!N31-Datos!X31)/Datos!X31),(Datos!N31-Datos!X31)/Datos!X31," - ")</f>
        <v>4.2618769263471142E-2</v>
      </c>
      <c r="H31" s="1095">
        <f>IF(ISNUMBER((Tasas!B31-Datos!BD31)/Datos!BD31),(Tasas!B31-Datos!BD31)/Datos!BD31," - ")</f>
        <v>4.7490145348768548E-3</v>
      </c>
      <c r="I31" s="1096">
        <f>IF(ISNUMBER((Tasas!C31-Datos!BE31)/Datos!BE31),(Tasas!C31-Datos!BE31)/Datos!BE31," - ")</f>
        <v>0.18861969725149572</v>
      </c>
      <c r="J31" s="1097">
        <f>IF(ISNUMBER((Tasas!D31-Datos!BF31)/Datos!BF31),(Tasas!D31-Datos!BF31)/Datos!BF31," - ")</f>
        <v>-0.61232868706349908</v>
      </c>
      <c r="K31" s="1097">
        <f>IF(ISNUMBER((Tasas!E31-Datos!BG31)/Datos!BG31),(Tasas!E31-Datos!BG31)/Datos!BG31," - ")</f>
        <v>-4.0064646018074905E-3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K+VJFum4o1hLn4tp+tyxCl2JjiVBXNCHnACi3WRck8G5+tgvW6xGEM/HvYmXyFQ5wr2upJGvRpTnwwJiSZqDQ==" saltValue="YC58sCBvYbDlKLrhtKgB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COLLADO VILLALBA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0.40740740740740738</v>
      </c>
      <c r="D10" s="499">
        <f>IF(ISNUMBER('Resol  Asuntos'!D10/NºAsuntos!G10),'Resol  Asuntos'!D10/NºAsuntos!G10," - ")</f>
        <v>0.25</v>
      </c>
      <c r="E10" s="500">
        <f>IF(ISNUMBER((NºAsuntos!C10+NºAsuntos!E10)/NºAsuntos!G10),(NºAsuntos!C10+NºAsuntos!E10)/NºAsuntos!G10," - ")</f>
        <v>1.4074074074074074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0.95411134404845099</v>
      </c>
      <c r="C12" s="498">
        <f>IF(ISNUMBER(NºAsuntos!I12/NºAsuntos!G12),NºAsuntos!I12/NºAsuntos!G12," - ")</f>
        <v>0.555419921875</v>
      </c>
      <c r="D12" s="499">
        <f>IF(ISNUMBER('Resol  Asuntos'!D12/NºAsuntos!G12),'Resol  Asuntos'!D12/NºAsuntos!G12," - ")</f>
        <v>0.169921875</v>
      </c>
      <c r="E12" s="500">
        <f>IF(ISNUMBER((NºAsuntos!C12+NºAsuntos!E12)/NºAsuntos!G12),(NºAsuntos!C12+NºAsuntos!E12)/NºAsuntos!G12," - ")</f>
        <v>1.4716796875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0.95270890725436175</v>
      </c>
      <c r="C14" s="1156">
        <f>IF(ISNUMBER(NºAsuntos!I14/NºAsuntos!G14),NºAsuntos!I14/NºAsuntos!G14," - ")</f>
        <v>0.55349397590361449</v>
      </c>
      <c r="D14" s="1157">
        <f>IF(ISNUMBER('Resol  Asuntos'!D14/NºAsuntos!G14),'Resol  Asuntos'!D14/NºAsuntos!G14," - ")</f>
        <v>0.17096385542168674</v>
      </c>
      <c r="E14" s="1158">
        <f>IF(ISNUMBER((NºAsuntos!C14+NºAsuntos!E14)/NºAsuntos!G14),(NºAsuntos!C14+NºAsuntos!E14)/NºAsuntos!G14," - ")</f>
        <v>1.4708433734939759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1.0326234707748074</v>
      </c>
      <c r="C17" s="498">
        <f>IF(ISNUMBER(NºAsuntos!I17/NºAsuntos!G17),NºAsuntos!I17/NºAsuntos!G17," - ")</f>
        <v>0.1967237092291941</v>
      </c>
      <c r="D17" s="499">
        <f>IF(ISNUMBER('Resol  Asuntos'!D17/NºAsuntos!G17),'Resol  Asuntos'!D17/NºAsuntos!G17," - ")</f>
        <v>0.12125201111598655</v>
      </c>
      <c r="E17" s="500">
        <f>IF(ISNUMBER((NºAsuntos!C17+NºAsuntos!E17)/NºAsuntos!G17),(NºAsuntos!C17+NºAsuntos!E17)/NºAsuntos!G17," - ")</f>
        <v>1.1646921164253328</v>
      </c>
      <c r="G17" s="523"/>
    </row>
    <row r="18" spans="1:7">
      <c r="A18" s="450" t="str">
        <f>Datos!A18</f>
        <v>Jdos. Violencia contra la mujer</v>
      </c>
      <c r="B18" s="497">
        <f>IF(ISNUMBER(NºAsuntos!G18/NºAsuntos!E18),NºAsuntos!G18/NºAsuntos!E18," - ")</f>
        <v>1.0232804232804233</v>
      </c>
      <c r="C18" s="498">
        <f>IF(ISNUMBER(NºAsuntos!I18/NºAsuntos!G18),NºAsuntos!I18/NºAsuntos!G18," - ")</f>
        <v>8.1695966907962769E-2</v>
      </c>
      <c r="D18" s="499">
        <f>IF(ISNUMBER('Resol  Asuntos'!D18/NºAsuntos!G18),'Resol  Asuntos'!D18/NºAsuntos!G18," - ")</f>
        <v>0.12202688728024819</v>
      </c>
      <c r="E18" s="500">
        <f>IF(ISNUMBER((NºAsuntos!C18+NºAsuntos!E18)/NºAsuntos!G18),(NºAsuntos!C18+NºAsuntos!E18)/NºAsuntos!G18," - ")</f>
        <v>1.0785935884177871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1.0314565159925986</v>
      </c>
      <c r="C23" s="1156">
        <f>IF(ISNUMBER(NºAsuntos!I23/NºAsuntos!G23),NºAsuntos!I23/NºAsuntos!G23," - ")</f>
        <v>0.18247052793439261</v>
      </c>
      <c r="D23" s="1159">
        <f>IF(ISNUMBER('Resol  Asuntos'!D23/NºAsuntos!G23),'Resol  Asuntos'!D23/NºAsuntos!G23," - ")</f>
        <v>0.12134802665299846</v>
      </c>
      <c r="E23" s="1158">
        <f>IF(ISNUMBER((NºAsuntos!C23+NºAsuntos!E23)/NºAsuntos!G23),(NºAsuntos!C23+NºAsuntos!E23)/NºAsuntos!G23," - ")</f>
        <v>1.1540235776524859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0.98931072613343163</v>
      </c>
      <c r="C31" s="1099">
        <f>IF(ISNUMBER(NºAsuntos!I31/NºAsuntos!G31),NºAsuntos!I31/NºAsuntos!G31," - ")</f>
        <v>0.37369597615499256</v>
      </c>
      <c r="D31" s="1100">
        <f>IF(ISNUMBER('Resol  Asuntos'!D31/NºAsuntos!G31),'Resol  Asuntos'!D31/NºAsuntos!G31," - ")</f>
        <v>0.14692001987083955</v>
      </c>
      <c r="E31" s="1101">
        <f>IF(ISNUMBER((NºAsuntos!C31+NºAsuntos!E31)/NºAsuntos!G31),(NºAsuntos!C31+NºAsuntos!E31)/NºAsuntos!G31," - ")</f>
        <v>1.3173124689518132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WigZRU3rCpBVF2UkCoZcbWbFccqPyr3WEFG3RSWCwC+Zd8y9P0ZZ+Roq8vqVyCg443h8BTAgJupxHJJOchbxw==" saltValue="TgT//NLTa3depi6o751V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COLLADO VILLALBA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108</v>
      </c>
      <c r="X10" s="240">
        <f>IF(ISNUMBER(Datos!Q10),Datos!Q10," - ")</f>
        <v>30</v>
      </c>
      <c r="Y10" s="374">
        <f t="shared" ref="Y10:Y13" si="0">SUM(W10:X10)</f>
        <v>138</v>
      </c>
      <c r="Z10" s="375" t="str">
        <f>IF(ISNUMBER(Datos!CC10),Datos!CC10," - ")</f>
        <v xml:space="preserve"> - </v>
      </c>
      <c r="AA10" s="372">
        <f>IF(ISNUMBER(Datos!L10),Datos!L10,"-")</f>
        <v>44</v>
      </c>
      <c r="AB10" s="374">
        <f>IF(ISNUMBER(Datos!R10),Datos!R10," - ")</f>
        <v>46</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4.481481481481481</v>
      </c>
      <c r="AN10" s="267">
        <f>IF(ISNUMBER('Resol  Asuntos'!D10/NºAsuntos!G10),'Resol  Asuntos'!D10/NºAsuntos!G10," - ")</f>
        <v>0.25</v>
      </c>
      <c r="AO10" s="268">
        <f>IF(ISNUMBER((NºAsuntos!C10+NºAsuntos!E10)/NºAsuntos!G10),(NºAsuntos!C10+NºAsuntos!E10)/NºAsuntos!G10," - ")</f>
        <v>1.4074074074074074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1252</v>
      </c>
      <c r="Y12" s="374">
        <f t="shared" si="0"/>
        <v>1252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1392</v>
      </c>
      <c r="AJ12" s="243" t="str">
        <f>IF(ISNUMBER(Datos!BW12),Datos!BW12," - ")</f>
        <v xml:space="preserve"> - </v>
      </c>
      <c r="AK12" s="242" t="str">
        <f>IF(ISNUMBER(Datos!BX12),Datos!BX12," - ")</f>
        <v xml:space="preserve"> - </v>
      </c>
      <c r="AL12" s="266">
        <f>IF(ISNUMBER(NºAsuntos!G12/NºAsuntos!E12),NºAsuntos!G12/NºAsuntos!E12," - ")</f>
        <v>0.95411134404845099</v>
      </c>
      <c r="AM12" s="284">
        <f>IF(ISNUMBER(((NºAsuntos!I12/NºAsuntos!G12)*11)/factor_trimestre),((NºAsuntos!I12/NºAsuntos!G12)*11)/factor_trimestre," - ")</f>
        <v>6.109619140625</v>
      </c>
      <c r="AN12" s="267">
        <f>IF(ISNUMBER('Resol  Asuntos'!D12/NºAsuntos!G12),'Resol  Asuntos'!D12/NºAsuntos!G12," - ")</f>
        <v>0.169921875</v>
      </c>
      <c r="AO12" s="268">
        <f>IF(ISNUMBER((NºAsuntos!C12+NºAsuntos!E12)/NºAsuntos!G12),(NºAsuntos!C12+NºAsuntos!E12)/NºAsuntos!G12," - ")</f>
        <v>1.4716796875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26</v>
      </c>
      <c r="G14" s="1163">
        <f t="shared" si="5"/>
        <v>26</v>
      </c>
      <c r="H14" s="1162">
        <f t="shared" si="5"/>
        <v>0</v>
      </c>
      <c r="I14" s="1164">
        <f t="shared" si="5"/>
        <v>0</v>
      </c>
      <c r="J14" s="1164">
        <f t="shared" si="5"/>
        <v>0</v>
      </c>
      <c r="K14" s="1164">
        <f t="shared" si="5"/>
        <v>0</v>
      </c>
      <c r="L14" s="1164">
        <f t="shared" si="5"/>
        <v>1278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108</v>
      </c>
      <c r="X14" s="1164">
        <f t="shared" si="6"/>
        <v>1282</v>
      </c>
      <c r="Y14" s="1165">
        <f t="shared" si="6"/>
        <v>1390</v>
      </c>
      <c r="Z14" s="1165">
        <f t="shared" si="6"/>
        <v>0</v>
      </c>
      <c r="AA14" s="1165">
        <f t="shared" si="6"/>
        <v>44</v>
      </c>
      <c r="AB14" s="1165">
        <f t="shared" si="6"/>
        <v>6262</v>
      </c>
      <c r="AC14" s="1165">
        <f t="shared" si="6"/>
        <v>90</v>
      </c>
      <c r="AD14" s="1165">
        <f t="shared" si="6"/>
        <v>0</v>
      </c>
      <c r="AE14" s="1169">
        <f t="shared" si="6"/>
        <v>0</v>
      </c>
      <c r="AF14" s="1162">
        <f t="shared" si="6"/>
        <v>0</v>
      </c>
      <c r="AG14" s="1170">
        <f t="shared" si="6"/>
        <v>0</v>
      </c>
      <c r="AH14" s="1167">
        <f t="shared" si="6"/>
        <v>0</v>
      </c>
      <c r="AI14" s="1162">
        <f t="shared" si="6"/>
        <v>1419</v>
      </c>
      <c r="AJ14" s="1164">
        <f t="shared" si="6"/>
        <v>0</v>
      </c>
      <c r="AK14" s="1167">
        <f>SUBTOTAL(9,AK9:AK13)</f>
        <v>0</v>
      </c>
      <c r="AL14" s="1171">
        <f>IF(ISNUMBER(NºAsuntos!G14/NºAsuntos!E14),NºAsuntos!G14/NºAsuntos!E14," - ")</f>
        <v>0.95270890725436175</v>
      </c>
      <c r="AM14" s="1171">
        <f>IF(ISNUMBER(((NºAsuntos!I14/NºAsuntos!G14)*11)/factor_trimestre),((NºAsuntos!I14/NºAsuntos!G14)*11)/factor_trimestre," - ")</f>
        <v>6.088433734939759</v>
      </c>
      <c r="AN14" s="1172">
        <f>IF(ISNUMBER('Resol  Asuntos'!D14/NºAsuntos!G14),'Resol  Asuntos'!D14/NºAsuntos!G14," - ")</f>
        <v>0.17096385542168674</v>
      </c>
      <c r="AO14" s="1173">
        <f>IF(ISNUMBER((NºAsuntos!C14+NºAsuntos!E14)/NºAsuntos!G14),(NºAsuntos!C14+NºAsuntos!E14)/NºAsuntos!G14," - ")</f>
        <v>1.4708433734939759</v>
      </c>
      <c r="AP14" s="1174" t="str">
        <f t="shared" si="2"/>
        <v xml:space="preserve"> - </v>
      </c>
      <c r="AQ14" s="1174">
        <f>IF(ISNUMBER((H14-W14+K14)/(F14)),(H14-W14+K14)/(F14)," - ")</f>
        <v>-4.1538461538461542</v>
      </c>
      <c r="AR14" s="1175">
        <f>IF(ISNUMBER((Datos!P14-Datos!Q14)/(Datos!R14-Datos!P14+Datos!Q14)),(Datos!P14-Datos!Q14)/(Datos!R14-Datos!P14+Datos!Q14)," - ")</f>
        <v>-6.3836578359399937E-4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1561</v>
      </c>
      <c r="G17" s="373">
        <f>IF(ISNUMBER(IF(D_I="SI",Datos!I17,Datos!I17+Datos!AC17)),IF(D_I="SI",Datos!I17,Datos!I17+Datos!AC17)," - ")</f>
        <v>1342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6837</v>
      </c>
      <c r="X17" s="240">
        <f>IF(ISNUMBER(Datos!Q17),Datos!Q17," - ")</f>
        <v>241</v>
      </c>
      <c r="Y17" s="374">
        <f t="shared" ref="Y17:Y22" si="9">SUM(W17:X17)</f>
        <v>7078</v>
      </c>
      <c r="Z17" s="375" t="str">
        <f>IF(ISNUMBER(Datos!CC17),Datos!CC17," - ")</f>
        <v xml:space="preserve"> - </v>
      </c>
      <c r="AA17" s="372">
        <f>IF(ISNUMBER(IF(D_I="SI",Datos!L17,Datos!L17+Datos!AF17)),IF(D_I="SI",Datos!L17,Datos!L17+Datos!AF17)," - ")</f>
        <v>1345</v>
      </c>
      <c r="AB17" s="374">
        <f>IF(ISNUMBER(Datos!R17),Datos!R17," - ")</f>
        <v>313</v>
      </c>
      <c r="AC17" s="374">
        <f t="shared" si="8"/>
        <v>1658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829</v>
      </c>
      <c r="AJ17" s="245" t="str">
        <f>IF(ISNUMBER(Datos!BW17),Datos!BW17," - ")</f>
        <v xml:space="preserve"> - </v>
      </c>
      <c r="AK17" s="246" t="str">
        <f>IF(ISNUMBER(Datos!BX17),Datos!BX17," - ")</f>
        <v xml:space="preserve"> - </v>
      </c>
      <c r="AL17" s="266">
        <f>IF(ISNUMBER(NºAsuntos!G17/NºAsuntos!E17),NºAsuntos!G17/NºAsuntos!E17," - ")</f>
        <v>1.0326234707748074</v>
      </c>
      <c r="AM17" s="284">
        <f>IF(ISNUMBER(((NºAsuntos!I17/NºAsuntos!G17)*11)/factor_trimestre),((NºAsuntos!I17/NºAsuntos!G17)*11)/factor_trimestre," - ")</f>
        <v>2.1639608015211351</v>
      </c>
      <c r="AN17" s="267">
        <f>IF(ISNUMBER('Resol  Asuntos'!D17/NºAsuntos!G17),'Resol  Asuntos'!D17/NºAsuntos!G17," - ")</f>
        <v>0.12125201111598655</v>
      </c>
      <c r="AO17" s="268">
        <f>IF(ISNUMBER((NºAsuntos!C17+NºAsuntos!E17)/NºAsuntos!G17),(NºAsuntos!C17+NºAsuntos!E17)/NºAsuntos!G17," - ")</f>
        <v>1.1646921164253328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967</v>
      </c>
      <c r="X18" s="240">
        <f>IF(ISNUMBER(Datos!Q18),Datos!Q18," - ")</f>
        <v>34</v>
      </c>
      <c r="Y18" s="374">
        <f t="shared" si="9"/>
        <v>1001</v>
      </c>
      <c r="Z18" s="375" t="str">
        <f>IF(ISNUMBER(Datos!CC18),Datos!CC18," - ")</f>
        <v xml:space="preserve"> - </v>
      </c>
      <c r="AA18" s="372">
        <f>IF(ISNUMBER(Datos!L18),Datos!L18,"-")</f>
        <v>79</v>
      </c>
      <c r="AB18" s="374">
        <f>IF(ISNUMBER(Datos!R18),Datos!R18," - ")</f>
        <v>13</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118</v>
      </c>
      <c r="AJ18" s="245" t="str">
        <f>IF(ISNUMBER(Datos!BW18),Datos!BW18," - ")</f>
        <v xml:space="preserve"> - </v>
      </c>
      <c r="AK18" s="246" t="str">
        <f>IF(ISNUMBER(Datos!BX18),Datos!BX18," - ")</f>
        <v xml:space="preserve"> - </v>
      </c>
      <c r="AL18" s="266">
        <f>IF(ISNUMBER(NºAsuntos!G18/NºAsuntos!E18),NºAsuntos!G18/NºAsuntos!E18," - ")</f>
        <v>1.0232804232804233</v>
      </c>
      <c r="AM18" s="284">
        <f>IF(ISNUMBER(((NºAsuntos!I18/NºAsuntos!G18)*11)/factor_trimestre),((NºAsuntos!I18/NºAsuntos!G18)*11)/factor_trimestre," - ")</f>
        <v>0.89865563598759046</v>
      </c>
      <c r="AN18" s="267">
        <f>IF(ISNUMBER('Resol  Asuntos'!D18/NºAsuntos!G18),'Resol  Asuntos'!D18/NºAsuntos!G18," - ")</f>
        <v>0.12202688728024819</v>
      </c>
      <c r="AO18" s="268">
        <f>IF(ISNUMBER((NºAsuntos!C18+NºAsuntos!E18)/NºAsuntos!G18),(NºAsuntos!C18+NºAsuntos!E18)/NºAsuntos!G18," - ")</f>
        <v>1.0785935884177871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1561</v>
      </c>
      <c r="G23" s="1163">
        <f>SUBTOTAL(9,G16:G22)</f>
        <v>1440</v>
      </c>
      <c r="H23" s="1162">
        <f t="shared" ref="H23:O23" si="13">SUBTOTAL(9,H15:H22)</f>
        <v>0</v>
      </c>
      <c r="I23" s="1164">
        <f t="shared" si="13"/>
        <v>0</v>
      </c>
      <c r="J23" s="1164">
        <f t="shared" si="13"/>
        <v>0</v>
      </c>
      <c r="K23" s="1164">
        <f t="shared" si="13"/>
        <v>0</v>
      </c>
      <c r="L23" s="1164">
        <f t="shared" si="13"/>
        <v>284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7804</v>
      </c>
      <c r="X23" s="1164">
        <f t="shared" si="14"/>
        <v>275</v>
      </c>
      <c r="Y23" s="1165">
        <f t="shared" si="14"/>
        <v>8079</v>
      </c>
      <c r="Z23" s="1165">
        <f t="shared" si="14"/>
        <v>0</v>
      </c>
      <c r="AA23" s="1165">
        <f t="shared" si="14"/>
        <v>1424</v>
      </c>
      <c r="AB23" s="1165">
        <f t="shared" si="14"/>
        <v>326</v>
      </c>
      <c r="AC23" s="1165">
        <f t="shared" si="14"/>
        <v>1750</v>
      </c>
      <c r="AD23" s="1165">
        <f t="shared" si="14"/>
        <v>0</v>
      </c>
      <c r="AE23" s="1169">
        <f t="shared" si="14"/>
        <v>0</v>
      </c>
      <c r="AF23" s="1162">
        <f t="shared" si="14"/>
        <v>0</v>
      </c>
      <c r="AG23" s="1170">
        <f t="shared" si="14"/>
        <v>0</v>
      </c>
      <c r="AH23" s="1167">
        <f t="shared" si="14"/>
        <v>0</v>
      </c>
      <c r="AI23" s="1162">
        <f t="shared" si="14"/>
        <v>947</v>
      </c>
      <c r="AJ23" s="1164">
        <f t="shared" si="14"/>
        <v>0</v>
      </c>
      <c r="AK23" s="1167">
        <f t="shared" si="14"/>
        <v>0</v>
      </c>
      <c r="AL23" s="1171">
        <f>IF(ISNUMBER(NºAsuntos!G23/NºAsuntos!E23),NºAsuntos!G23/NºAsuntos!E23," - ")</f>
        <v>1.0314565159925986</v>
      </c>
      <c r="AM23" s="1171">
        <f>IF(ISNUMBER(((NºAsuntos!I23/NºAsuntos!G23)*11)/factor_trimestre),((NºAsuntos!I23/NºAsuntos!G23)*11)/factor_trimestre," - ")</f>
        <v>2.0071758072783186</v>
      </c>
      <c r="AN23" s="1172">
        <f>IF(ISNUMBER('Resol  Asuntos'!D23/NºAsuntos!G23),'Resol  Asuntos'!D23/NºAsuntos!G23," - ")</f>
        <v>0.12134802665299846</v>
      </c>
      <c r="AO23" s="1173">
        <f>IF(ISNUMBER((NºAsuntos!C23+NºAsuntos!E23)/NºAsuntos!G23),(NºAsuntos!C23+NºAsuntos!E23)/NºAsuntos!G23," - ")</f>
        <v>1.1540235776524859</v>
      </c>
      <c r="AP23" s="1174" t="str">
        <f t="shared" si="2"/>
        <v xml:space="preserve"> - </v>
      </c>
      <c r="AQ23" s="1174">
        <f>IF(ISNUMBER((H23-W23+K23)/(F23)),(H23-W23+K23)/(F23)," - ")</f>
        <v>-4.9993593850096092</v>
      </c>
      <c r="AR23" s="1175">
        <f>IF(ISNUMBER((Datos!P23-Datos!Q23)/(Datos!R23-Datos!P23+Datos!Q23)),(Datos!P23-Datos!Q23)/(Datos!R23-Datos!P23+Datos!Q23)," - ")</f>
        <v>2.8391167192429023E-2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1587</v>
      </c>
      <c r="G31" s="1118">
        <f t="shared" si="20"/>
        <v>1466</v>
      </c>
      <c r="H31" s="1117">
        <f t="shared" si="20"/>
        <v>0</v>
      </c>
      <c r="I31" s="1119">
        <f t="shared" si="20"/>
        <v>0</v>
      </c>
      <c r="J31" s="1119">
        <f t="shared" si="20"/>
        <v>0</v>
      </c>
      <c r="K31" s="1180">
        <f t="shared" si="20"/>
        <v>0</v>
      </c>
      <c r="L31" s="1119">
        <f t="shared" si="20"/>
        <v>1562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7912</v>
      </c>
      <c r="X31" s="1118">
        <f t="shared" si="21"/>
        <v>1557</v>
      </c>
      <c r="Y31" s="1125">
        <f t="shared" si="21"/>
        <v>9469</v>
      </c>
      <c r="Z31" s="1125">
        <f t="shared" si="21"/>
        <v>0</v>
      </c>
      <c r="AA31" s="1125">
        <f t="shared" si="21"/>
        <v>1468</v>
      </c>
      <c r="AB31" s="1125">
        <f t="shared" si="21"/>
        <v>6588</v>
      </c>
      <c r="AC31" s="1125">
        <f t="shared" si="21"/>
        <v>1840</v>
      </c>
      <c r="AD31" s="1125">
        <f t="shared" si="21"/>
        <v>0</v>
      </c>
      <c r="AE31" s="1127">
        <f t="shared" si="21"/>
        <v>0</v>
      </c>
      <c r="AF31" s="1128">
        <f t="shared" si="21"/>
        <v>0</v>
      </c>
      <c r="AG31" s="1129">
        <f t="shared" si="21"/>
        <v>0</v>
      </c>
      <c r="AH31" s="1127">
        <f t="shared" si="21"/>
        <v>0</v>
      </c>
      <c r="AI31" s="1117">
        <f t="shared" si="21"/>
        <v>2366</v>
      </c>
      <c r="AJ31" s="1117">
        <f t="shared" si="21"/>
        <v>0</v>
      </c>
      <c r="AK31" s="1127">
        <f t="shared" si="21"/>
        <v>0</v>
      </c>
      <c r="AL31" s="1183">
        <f>IF(ISNUMBER(NºAsuntos!G31/NºAsuntos!E31),NºAsuntos!G31/NºAsuntos!E31," - ")</f>
        <v>0.98931072613343163</v>
      </c>
      <c r="AM31" s="1184">
        <f>IF(ISNUMBER(((NºAsuntos!I31/NºAsuntos!G31)*11)/factor_trimestre),((NºAsuntos!I31/NºAsuntos!G31)*11)/factor_trimestre," - ")</f>
        <v>4.110655737704918</v>
      </c>
      <c r="AN31" s="1184">
        <f>IF(ISNUMBER('Resol  Asuntos'!D31/NºAsuntos!G31),'Resol  Asuntos'!D31/NºAsuntos!G31," - ")</f>
        <v>0.14692001987083955</v>
      </c>
      <c r="AO31" s="1185">
        <f>IF(ISNUMBER((NºAsuntos!C31+NºAsuntos!E31)/NºAsuntos!G31),(NºAsuntos!C31+NºAsuntos!E31)/NºAsuntos!G31," - ")</f>
        <v>1.3173124689518132</v>
      </c>
      <c r="AP31" s="1186" t="str">
        <f t="shared" si="2"/>
        <v xml:space="preserve"> - </v>
      </c>
      <c r="AQ31" s="1187">
        <f>IF(OR(ISNUMBER(FIND("01",Criterios!A8,1)),ISNUMBER(FIND("02",Criterios!A8,1)),ISNUMBER(FIND("03",Criterios!A8,1)),ISNUMBER(FIND("04",Criterios!A8,1))),(I31-W31+K31)/(F31-K31),(H31-W31+K31)/(F31-K31))</f>
        <v>-4.9855072463768115</v>
      </c>
      <c r="AR31" s="1188">
        <f>IF(ISNUMBER((Datos!P31-Datos!Q31)/(Datos!R31-Datos!P31+Datos!Q31)),(Datos!P31-Datos!Q31)/(Datos!R31-Datos!P31+Datos!Q31)," - ")</f>
        <v>7.595321282090232E-4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799.46832332494569</v>
      </c>
      <c r="G33" s="277">
        <f>IF(ISNUMBER(STDEV(G8:G30)),STDEV(G8:G30),"-")</f>
        <v>665.51118912993707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3484.1096355282725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626.89142372731271</v>
      </c>
      <c r="AJ33" s="276">
        <f t="shared" si="25"/>
        <v>0</v>
      </c>
      <c r="AK33" s="278">
        <f t="shared" si="25"/>
        <v>0</v>
      </c>
      <c r="AL33" s="273">
        <f t="shared" si="25"/>
        <v>6.8792506553838922E-2</v>
      </c>
      <c r="AM33" s="274">
        <f t="shared" si="25"/>
        <v>2.2432272618783911</v>
      </c>
      <c r="AN33" s="274">
        <f t="shared" si="25"/>
        <v>5.0502737869418703E-2</v>
      </c>
      <c r="AO33" s="275">
        <f t="shared" si="25"/>
        <v>0.1779729879582066</v>
      </c>
      <c r="AP33" s="317" t="str">
        <f t="shared" si="25"/>
        <v>-</v>
      </c>
      <c r="AQ33" s="318">
        <f t="shared" si="25"/>
        <v>0.59786813933862792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lHprZTQ0sELA4sG7qVdhmtkX73rigbLppxJbqh6jbwNuQgarC+qO6Pr6i/kONLl3x1DkJY4MF6DNzICQnBrfg==" saltValue="CTquoHeSO6pGMnbTsOPU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COLLADO VILLALBA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0.57499999999999996</v>
      </c>
      <c r="F10" s="393">
        <f>IF(ISNUMBER((Datos!K10-Datos!U10)/Datos!U10),(Datos!K10-Datos!U10)/Datos!U10," - ")</f>
        <v>0.17391304347826086</v>
      </c>
      <c r="G10" s="394">
        <f>IF(ISNUMBER((Datos!L10-Datos!V10)/Datos!V10),(Datos!L10-Datos!V10)/Datos!V10," - ")</f>
        <v>0.69230769230769229</v>
      </c>
      <c r="H10" s="244">
        <f>IF(ISNUMBER((Datos!M10-Datos!W10)/Datos!W10),(Datos!M10-Datos!W10)/Datos!W10," - ")</f>
        <v>3.8461538461538464E-2</v>
      </c>
      <c r="I10" s="395">
        <f>IF(ISNUMBER((Tasas!C10-Datos!BE10)/Datos!BE10),(Tasas!C10-Datos!BE10)/Datos!BE10," - ")</f>
        <v>0.44159544159544162</v>
      </c>
      <c r="J10" s="394">
        <f>IF(ISNUMBER((Tasas!D10-Datos!BF10)/Datos!BF10),(Tasas!D10-Datos!BF10)/Datos!BF10," - ")</f>
        <v>-0.11538461538461532</v>
      </c>
      <c r="K10" s="396">
        <f>IF(ISNUMBER((Tasas!E10-Datos!BG10)/Datos!BG10),(Tasas!E10-Datos!BG10)/Datos!BG10," - ")</f>
        <v>9.730069052102959E-2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9.4271211022480053E-3</v>
      </c>
      <c r="I12" s="395">
        <f>IF(ISNUMBER((Tasas!C12-Datos!BE12)/Datos!BE12),(Tasas!C12-Datos!BE12)/Datos!BE12," - ")</f>
        <v>0.33620908006123928</v>
      </c>
      <c r="J12" s="394">
        <f>IF(ISNUMBER((Tasas!D12-Datos!BF12)/Datos!BF12),(Tasas!D12-Datos!BF12)/Datos!BF12," - ")</f>
        <v>-0.71424097250201457</v>
      </c>
      <c r="K12" s="396">
        <f>IF(ISNUMBER((Tasas!E12-Datos!BG12)/Datos!BG12),(Tasas!E12-Datos!BG12)/Datos!BG12," - ")</f>
        <v>2.1415200469737324E-2</v>
      </c>
      <c r="M12" t="e">
        <f>IF(Monitorios="SI",Datos!CE12,0)</f>
        <v>#REF!</v>
      </c>
      <c r="N12" t="e">
        <f>IF(Monitorios="SI",Datos!CF12,0)</f>
        <v>#REF!</v>
      </c>
      <c r="O12" t="e">
        <f>IF(Monitorios="SI",Datos!CG12,0)</f>
        <v>#REF!</v>
      </c>
      <c r="P12" t="e">
        <f>IF(Monitorios="SI",Datos!CH12,0)</f>
        <v>#REF!</v>
      </c>
      <c r="Q12">
        <f>IF(J_V="SI",0,Datos!AG12)</f>
        <v>171</v>
      </c>
      <c r="R12">
        <f>IF(J_V="SI",0,Datos!AH12)</f>
        <v>961</v>
      </c>
      <c r="S12">
        <f>IF(J_V="SI",0,Datos!AI12)</f>
        <v>931</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9.9644128113879002E-3</v>
      </c>
      <c r="I14" s="402">
        <f>IF(ISNUMBER((Tasas!C14-Datos!BE14)/Datos!BE14),(Tasas!C14-Datos!BE14)/Datos!BE14," - ")</f>
        <v>0.33623831711284502</v>
      </c>
      <c r="J14" s="400">
        <f>IF(ISNUMBER((Tasas!D14-Datos!BF14)/Datos!BF14),(Tasas!D14-Datos!BF14)/Datos!BF14," - ")</f>
        <v>-0.7108346814110148</v>
      </c>
      <c r="K14" s="403">
        <f>IF(ISNUMBER((Tasas!E14-Datos!BG14)/Datos!BG14),(Tasas!E14-Datos!BG14)/Datos!BG14," - ")</f>
        <v>2.2058132083744214E-2</v>
      </c>
      <c r="M14" t="e">
        <f>IF(Monitorios="SI",Datos!CE14,0)</f>
        <v>#REF!</v>
      </c>
      <c r="N14" t="e">
        <f>IF(Monitorios="SI",Datos!CF14,0)</f>
        <v>#REF!</v>
      </c>
      <c r="O14" t="e">
        <f>IF(Monitorios="SI",Datos!CG14,0)</f>
        <v>#REF!</v>
      </c>
      <c r="P14" t="e">
        <f>IF(Monitorios="SI",Datos!CH14,0)</f>
        <v>#REF!</v>
      </c>
      <c r="Q14">
        <f>IF(J_V="SI",0,Datos!AG14)</f>
        <v>171</v>
      </c>
      <c r="R14">
        <f>IF(J_V="SI",0,Datos!AH14)</f>
        <v>961</v>
      </c>
      <c r="S14">
        <f>IF(J_V="SI",0,Datos!AI14)</f>
        <v>931</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-7.1280276816608992E-2</v>
      </c>
      <c r="E17" s="393">
        <f>IF(ISNUMBER(
   IF(D_I="SI",(Datos!J17-Datos!T17)/Datos!T17,(Datos!J17+Datos!AD17-(Datos!T17+Datos!AL17))/(Datos!T17+Datos!AL17))
     ),IF(D_I="SI",(Datos!J17-Datos!T17)/Datos!T17,(Datos!J17+Datos!AD17-(Datos!T17+Datos!AL17))/(Datos!T17+Datos!AL17))," - ")</f>
        <v>4.9952426260704091E-2</v>
      </c>
      <c r="F17" s="393">
        <f>IF(ISNUMBER(
   IF(D_I="SI",(Datos!K17-Datos!U17)/Datos!U17,(Datos!K17+Datos!AE17-(Datos!U17+Datos!AM17))/(Datos!U17+Datos!AM17))
     ),IF(D_I="SI",(Datos!K17-Datos!U17)/Datos!U17,(Datos!K17+Datos!AE17-(Datos!U17+Datos!AM17))/(Datos!U17+Datos!AM17))," - ")</f>
        <v>5.4604349838037948E-2</v>
      </c>
      <c r="G17" s="394">
        <f>IF(ISNUMBER(
   IF(D_I="SI",(Datos!L17-Datos!V17)/Datos!V17,(Datos!L17+Datos!AF17-(Datos!V17+Datos!AN17))/(Datos!V17+Datos!AN17))
     ),IF(D_I="SI",(Datos!L17-Datos!V17)/Datos!V17,(Datos!L17+Datos!AF17-(Datos!V17+Datos!AN17))/(Datos!V17+Datos!AN17))," - ")</f>
        <v>2.2354694485842027E-3</v>
      </c>
      <c r="H17" s="244">
        <f>IF(ISNUMBER((Datos!M17-Datos!W17)/Datos!W17),(Datos!M17-Datos!W17)/Datos!W17," - ")</f>
        <v>-6.538895152198422E-2</v>
      </c>
      <c r="I17" s="395">
        <f>IF(ISNUMBER((Tasas!C17-Datos!BE17)/Datos!BE17),(Tasas!C17-Datos!BE17)/Datos!BE17," - ")</f>
        <v>-4.9657371883110722E-2</v>
      </c>
      <c r="J17" s="394">
        <f>IF(ISNUMBER((Tasas!D17-Datos!BF17)/Datos!BF17),(Tasas!D17-Datos!BF17)/Datos!BF17," - ")</f>
        <v>-0.1137803967700781</v>
      </c>
      <c r="K17" s="396">
        <f>IF(ISNUMBER((Tasas!E17-Datos!BG17)/Datos!BG17),(Tasas!E17-Datos!BG17)/Datos!BG17," - ")</f>
        <v>-2.5841957065484204E-2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0.20987654320987653</v>
      </c>
      <c r="E18" s="393">
        <f>IF(ISNUMBER(
   IF(D_I="SI",(Datos!J18-Datos!T18)/Datos!T18,(Datos!J18+Datos!AD18-(Datos!T18+Datos!AL18))/(Datos!T18+Datos!AL18))
     ),IF(D_I="SI",(Datos!J18-Datos!T18)/Datos!T18,(Datos!J18+Datos!AD18-(Datos!T18+Datos!AL18))/(Datos!T18+Datos!AL18))," - ")</f>
        <v>0.20076238881829733</v>
      </c>
      <c r="F18" s="393">
        <f>IF(ISNUMBER(
   IF(D_I="SI",(Datos!K18-Datos!U18)/Datos!U18,(Datos!K18+Datos!AE18-(Datos!U18+Datos!AM18))/(Datos!U18+Datos!AM18))
     ),IF(D_I="SI",(Datos!K18-Datos!U18)/Datos!U18,(Datos!K18+Datos!AE18-(Datos!U18+Datos!AM18))/(Datos!U18+Datos!AM18))," - ")</f>
        <v>0.24453024453024452</v>
      </c>
      <c r="G18" s="394">
        <f>IF(ISNUMBER(
   IF(D_I="SI",(Datos!L18-Datos!V18)/Datos!V18,(Datos!L18+Datos!AF18-(Datos!V18+Datos!AN18))/(Datos!V18+Datos!AN18))
     ),IF(D_I="SI",(Datos!L18-Datos!V18)/Datos!V18,(Datos!L18+Datos!AF18-(Datos!V18+Datos!AN18))/(Datos!V18+Datos!AN18))," - ")</f>
        <v>-0.19387755102040816</v>
      </c>
      <c r="H18" s="244">
        <f>IF(ISNUMBER((Datos!M18-Datos!W18)/Datos!W18),(Datos!M18-Datos!W18)/Datos!W18," - ")</f>
        <v>0.61643835616438358</v>
      </c>
      <c r="I18" s="395">
        <f>IF(ISNUMBER((Tasas!C18-Datos!BE18)/Datos!BE18),(Tasas!C18-Datos!BE18)/Datos!BE18," - ")</f>
        <v>-0.35226769094400939</v>
      </c>
      <c r="J18" s="394">
        <f>IF(ISNUMBER((Tasas!D18-Datos!BF18)/Datos!BF18),(Tasas!D18-Datos!BF18)/Datos!BF18," - ")</f>
        <v>0.29883412899661421</v>
      </c>
      <c r="K18" s="396">
        <f>IF(ISNUMBER((Tasas!E18-Datos!BG18)/Datos!BG18),(Tasas!E18-Datos!BG18)/Datos!BG18," - ")</f>
        <v>-3.4484771658271171E-2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-5.6356487549148099E-2</v>
      </c>
      <c r="E23" s="399">
        <f>IF(ISNUMBER(
   IF(D_I="SI",(Datos!J23-Datos!T23)/Datos!T23,(Datos!J23+Datos!AD23-(Datos!T23+Datos!AL23))/(Datos!T23+Datos!AL23))
     ),IF(D_I="SI",(Datos!J23-Datos!T23)/Datos!T23,(Datos!J23+Datos!AD23-(Datos!T23+Datos!AL23))/(Datos!T23+Datos!AL23))," - ")</f>
        <v>6.6685464542506692E-2</v>
      </c>
      <c r="F23" s="399">
        <f>IF(ISNUMBER(
   IF(D_I="SI",(Datos!K23-Datos!U23)/Datos!U23,(Datos!K23+Datos!AE23-(Datos!U23+Datos!AM23))/(Datos!U23+Datos!AM23))
     ),IF(D_I="SI",(Datos!K23-Datos!U23)/Datos!U23,(Datos!K23+Datos!AE23-(Datos!U23+Datos!AM23))/(Datos!U23+Datos!AM23))," - ")</f>
        <v>7.4931129476584021E-2</v>
      </c>
      <c r="G23" s="400">
        <f>IF(ISNUMBER(
   IF(D_I="SI",(Datos!L23-Datos!V23)/Datos!V23,(Datos!L23+Datos!AF23-(Datos!V23+Datos!AN23))/(Datos!V23+Datos!AN23))
     ),IF(D_I="SI",(Datos!L23-Datos!V23)/Datos!V23,(Datos!L23+Datos!AF23-(Datos!V23+Datos!AN23))/(Datos!V23+Datos!AN23))," - ")</f>
        <v>-1.1111111111111112E-2</v>
      </c>
      <c r="H23" s="401">
        <f>IF(ISNUMBER((Datos!M23-Datos!W23)/Datos!W23),(Datos!M23-Datos!W23)/Datos!W23," - ")</f>
        <v>-1.3541666666666667E-2</v>
      </c>
      <c r="I23" s="402">
        <f>IF(ISNUMBER((Tasas!C23-Datos!BE23)/Datos!BE23),(Tasas!C23-Datos!BE23)/Datos!BE23," - ")</f>
        <v>-8.0044421664103943E-2</v>
      </c>
      <c r="J23" s="400">
        <f>IF(ISNUMBER((Tasas!D23-Datos!BF23)/Datos!BF23),(Tasas!D23-Datos!BF23)/Datos!BF23," - ")</f>
        <v>-8.2305548436699183E-2</v>
      </c>
      <c r="K23" s="403">
        <f>IF(ISNUMBER((Tasas!E23-Datos!BG23)/Datos!BG23),(Tasas!E23-Datos!BG23)/Datos!BG23," - ")</f>
        <v>-2.7936979492162884E-2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2.4066390041493777E-2</v>
      </c>
      <c r="E31" s="409">
        <f>IF(ISNUMBER(
   IF(J_V="SI",(Datos!J31-Datos!T31)/Datos!T31,(Datos!J31+Datos!Z31-(Datos!T31+Datos!AH31))/(Datos!T31+Datos!AH31))
     ),IF(J_V="SI",(Datos!J31-Datos!T31)/Datos!T31,(Datos!J31+Datos!Z31-(Datos!T31+Datos!AH31))/(Datos!T31+Datos!AH31))," - ")</f>
        <v>2.0884289746001882E-2</v>
      </c>
      <c r="F31" s="409">
        <f>IF(ISNUMBER(
   IF(J_V="SI",(Datos!K31-Datos!U31)/Datos!U31,(Datos!K31+Datos!AA31-(Datos!U31+Datos!AI31))/(Datos!U31+Datos!AI31))
     ),IF(J_V="SI",(Datos!K31-Datos!U31)/Datos!U31,(Datos!K31+Datos!AA31-(Datos!U31+Datos!AI31))/(Datos!U31+Datos!AI31))," - ")</f>
        <v>2.573248407643312E-2</v>
      </c>
      <c r="G31" s="410">
        <f>IF(ISNUMBER(
   IF(J_V="SI",(Datos!L31-Datos!V31)/Datos!V31,(Datos!L31+Datos!AB31-(Datos!V31+Datos!AJ31))/(Datos!V31+Datos!AJ31))
     ),IF(J_V="SI",(Datos!L31-Datos!V31)/Datos!V31,(Datos!L31+Datos!AB31-(Datos!V31+Datos!AJ31))/(Datos!V31+Datos!AJ31))," - ")</f>
        <v>0.21920583468395463</v>
      </c>
      <c r="H31" s="411">
        <f>IF(ISNUMBER((Datos!M31-Datos!W31)/Datos!W31),(Datos!M31-Datos!W31)/Datos!W31," - ")</f>
        <v>4.2283298097251583E-4</v>
      </c>
      <c r="I31" s="408">
        <f>IF(ISNUMBER((Tasas!C31-Datos!BE31)/Datos!BE31),(Tasas!C31-Datos!BE31)/Datos!BE31," - ")</f>
        <v>0.18861969725149572</v>
      </c>
      <c r="J31" s="409">
        <f>IF(ISNUMBER((Tasas!D31-Datos!BF31)/Datos!BF31),(Tasas!D31-Datos!BF31)/Datos!BF31," - ")</f>
        <v>-0.61232868706349908</v>
      </c>
      <c r="K31" s="410">
        <f>IF(ISNUMBER((Tasas!E31-Datos!BG31)/Datos!BG31),(Tasas!E31-Datos!BG31)/Datos!BG31," - ")</f>
        <v>-4.0064646018074905E-3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0.2147802921137727</v>
      </c>
      <c r="E33" s="303">
        <f t="shared" si="1"/>
        <v>0.24411620734633313</v>
      </c>
      <c r="F33" s="303">
        <f t="shared" si="1"/>
        <v>8.8632037113225481E-2</v>
      </c>
      <c r="G33" s="304">
        <f t="shared" si="1"/>
        <v>0.39033788683914206</v>
      </c>
      <c r="H33" s="310">
        <f t="shared" si="1"/>
        <v>0.25575263035209189</v>
      </c>
      <c r="I33" s="302">
        <f t="shared" si="1"/>
        <v>0.31224306387444645</v>
      </c>
      <c r="J33" s="303">
        <f t="shared" si="1"/>
        <v>0.3983112013843858</v>
      </c>
      <c r="K33" s="304">
        <f t="shared" si="1"/>
        <v>5.018071720240154E-2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0VGj6uOO4FaQ+GZaOQqVitAUN/sxB2UarCjxJPRj8fWb0J3+JN+xeRdZUDUDi7NgMvnxFkwLOp0YsAyCFrg==" saltValue="KTqO5t4Tr/3OA7mEHNumB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